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embeddings/oleObject3.bin" ContentType="application/vnd.openxmlformats-officedocument.oleObject"/>
  <Override PartName="/xl/drawings/drawing13.xml" ContentType="application/vnd.openxmlformats-officedocument.drawing+xml"/>
  <Override PartName="/xl/drawings/drawing1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harts/chart7.xml" ContentType="application/vnd.openxmlformats-officedocument.drawingml.chart+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mc:AlternateContent xmlns:mc="http://schemas.openxmlformats.org/markup-compatibility/2006">
    <mc:Choice Requires="x15">
      <x15ac:absPath xmlns:x15ac="http://schemas.microsoft.com/office/spreadsheetml/2010/11/ac" url="/Users/cherryleheu/Codes/NIDIS-Codes/"/>
    </mc:Choice>
  </mc:AlternateContent>
  <xr:revisionPtr revIDLastSave="0" documentId="13_ncr:1_{C02A094E-6546-5844-9F75-74F309676824}" xr6:coauthVersionLast="47" xr6:coauthVersionMax="47" xr10:uidLastSave="{00000000-0000-0000-0000-000000000000}"/>
  <bookViews>
    <workbookView xWindow="0" yWindow="500" windowWidth="19200" windowHeight="20040" tabRatio="945" activeTab="3" xr2:uid="{ABA75580-E822-4E04-B93C-AF0651B6DC78}"/>
  </bookViews>
  <sheets>
    <sheet name="Step 1. Field Inventory" sheetId="10" state="hidden" r:id="rId1"/>
    <sheet name="Step 1. CPGL Guide" sheetId="30" r:id="rId2"/>
    <sheet name="Climate Instructions" sheetId="27" r:id="rId3"/>
    <sheet name="Step 2. Production Estimate" sheetId="28" r:id="rId4"/>
    <sheet name="ForageProductionModel" sheetId="29" r:id="rId5"/>
    <sheet name="Step 3. FA Balance" sheetId="1" r:id="rId6"/>
    <sheet name="528 IR" sheetId="31" r:id="rId7"/>
    <sheet name="RecordKeeping Wksht Option 1" sheetId="32" r:id="rId8"/>
    <sheet name="RecordKeeping Wksht Option 2 " sheetId="33" r:id="rId9"/>
    <sheet name="PI-Range-6" sheetId="34" r:id="rId10"/>
    <sheet name="PI-Range-7" sheetId="35" r:id="rId11"/>
    <sheet name="Cert 414 Proper Grazing Use" sheetId="36" r:id="rId12"/>
    <sheet name="Step 4. Review Summary" sheetId="8" state="hidden" r:id="rId13"/>
    <sheet name="Step 5. Review TimeControlSched" sheetId="5" state="hidden" r:id="rId14"/>
    <sheet name="Step 6. Certification" sheetId="23" state="hidden" r:id="rId15"/>
    <sheet name="ForageGrowthCurves" sheetId="13" r:id="rId16"/>
    <sheet name="416 Browse Resource Eval" sheetId="37" r:id="rId17"/>
    <sheet name="Explanation sheet for L.O. " sheetId="11" state="hidden" r:id="rId18"/>
    <sheet name="Instructions" sheetId="9" state="hidden" r:id="rId19"/>
    <sheet name="Module1" sheetId="2" state="veryHidden" r:id=""/>
    <sheet name="Module2" sheetId="3" state="veryHidden" r:id=""/>
    <sheet name="Module3" sheetId="4" state="veryHidden" r:id=""/>
    <sheet name="Calculations" sheetId="12" state="hidden" r:id="rId20"/>
    <sheet name="PastureGrazingEfficiency" sheetId="16" state="hidden" r:id="rId21"/>
    <sheet name="HayList" sheetId="15" state="hidden" r:id="rId22"/>
    <sheet name="FSGTables" sheetId="17" state="hidden" r:id="rId23"/>
    <sheet name="PrintableLivestockInventory" sheetId="18" state="hidden" r:id="rId24"/>
    <sheet name="PrintableGrazingInventory" sheetId="19" state="hidden" r:id="rId25"/>
    <sheet name="PrintableSummaryBalance" sheetId="20" state="hidden" r:id="rId26"/>
    <sheet name="PrintableHayInventory" sheetId="21" state="hidden" r:id="rId27"/>
  </sheets>
  <externalReferences>
    <externalReference r:id="rId28"/>
  </externalReferences>
  <definedNames>
    <definedName name="_Key1" hidden="1">'Step 3. FA Balance'!$G$261:$G$329</definedName>
    <definedName name="_Order1" hidden="1">255</definedName>
    <definedName name="_Sort" hidden="1">'Step 3. FA Balance'!$G$244:$R$320</definedName>
    <definedName name="Acres1" localSheetId="16">'[1]Step 3. FA Balance'!$I$103</definedName>
    <definedName name="Acres1" localSheetId="6">'[1]Step 3. FA Balance'!$I$103</definedName>
    <definedName name="Acres1" localSheetId="11">'[1]Step 3. FA Balance'!$I$103</definedName>
    <definedName name="Acres1" localSheetId="4">'[1]Step 3. FA Balance'!$I$103</definedName>
    <definedName name="Acres1" localSheetId="9">'[1]Step 3. FA Balance'!$I$103</definedName>
    <definedName name="Acres1" localSheetId="10">'[1]Step 3. FA Balance'!$I$103</definedName>
    <definedName name="Acres1" localSheetId="7">'[1]Step 3. FA Balance'!$I$103</definedName>
    <definedName name="Acres1" localSheetId="8">'[1]Step 3. FA Balance'!$I$103</definedName>
    <definedName name="Acres1" localSheetId="1">'[1]Step 3. FA Balance'!$I$103</definedName>
    <definedName name="Acres1" localSheetId="3">'[1]Step 3. FA Balance'!$I$103</definedName>
    <definedName name="Acres1">'Step 3. FA Balance'!$I$103</definedName>
    <definedName name="Acres10" localSheetId="16">'[1]Step 3. FA Balance'!$I$121</definedName>
    <definedName name="Acres10" localSheetId="6">'[1]Step 3. FA Balance'!$I$121</definedName>
    <definedName name="Acres10" localSheetId="11">'[1]Step 3. FA Balance'!$I$121</definedName>
    <definedName name="Acres10" localSheetId="4">'[1]Step 3. FA Balance'!$I$121</definedName>
    <definedName name="Acres10" localSheetId="9">'[1]Step 3. FA Balance'!$I$121</definedName>
    <definedName name="Acres10" localSheetId="10">'[1]Step 3. FA Balance'!$I$121</definedName>
    <definedName name="Acres10" localSheetId="7">'[1]Step 3. FA Balance'!$I$121</definedName>
    <definedName name="Acres10" localSheetId="8">'[1]Step 3. FA Balance'!$I$121</definedName>
    <definedName name="Acres10" localSheetId="1">'[1]Step 3. FA Balance'!$I$121</definedName>
    <definedName name="Acres10" localSheetId="3">'[1]Step 3. FA Balance'!$I$121</definedName>
    <definedName name="Acres10">'Step 3. FA Balance'!$I$121</definedName>
    <definedName name="Acres11" localSheetId="16">'[1]Step 3. FA Balance'!$I$123</definedName>
    <definedName name="Acres11" localSheetId="6">'[1]Step 3. FA Balance'!$I$123</definedName>
    <definedName name="Acres11" localSheetId="11">'[1]Step 3. FA Balance'!$I$123</definedName>
    <definedName name="Acres11" localSheetId="4">'[1]Step 3. FA Balance'!$I$123</definedName>
    <definedName name="Acres11" localSheetId="9">'[1]Step 3. FA Balance'!$I$123</definedName>
    <definedName name="Acres11" localSheetId="10">'[1]Step 3. FA Balance'!$I$123</definedName>
    <definedName name="Acres11" localSheetId="7">'[1]Step 3. FA Balance'!$I$123</definedName>
    <definedName name="Acres11" localSheetId="8">'[1]Step 3. FA Balance'!$I$123</definedName>
    <definedName name="Acres11" localSheetId="1">'[1]Step 3. FA Balance'!$I$123</definedName>
    <definedName name="Acres11" localSheetId="3">'[1]Step 3. FA Balance'!$I$123</definedName>
    <definedName name="Acres11">'Step 3. FA Balance'!$I$123</definedName>
    <definedName name="Acres12" localSheetId="16">'[1]Step 3. FA Balance'!$I$125</definedName>
    <definedName name="Acres12" localSheetId="6">'[1]Step 3. FA Balance'!$I$125</definedName>
    <definedName name="Acres12" localSheetId="11">'[1]Step 3. FA Balance'!$I$125</definedName>
    <definedName name="Acres12" localSheetId="4">'[1]Step 3. FA Balance'!$I$125</definedName>
    <definedName name="Acres12" localSheetId="9">'[1]Step 3. FA Balance'!$I$125</definedName>
    <definedName name="Acres12" localSheetId="10">'[1]Step 3. FA Balance'!$I$125</definedName>
    <definedName name="Acres12" localSheetId="7">'[1]Step 3. FA Balance'!$I$125</definedName>
    <definedName name="Acres12" localSheetId="8">'[1]Step 3. FA Balance'!$I$125</definedName>
    <definedName name="Acres12" localSheetId="1">'[1]Step 3. FA Balance'!$I$125</definedName>
    <definedName name="Acres12" localSheetId="3">'[1]Step 3. FA Balance'!$I$125</definedName>
    <definedName name="Acres12">'Step 3. FA Balance'!$I$125</definedName>
    <definedName name="Acres13" localSheetId="16">'[1]Step 3. FA Balance'!$I$127</definedName>
    <definedName name="Acres13" localSheetId="6">'[1]Step 3. FA Balance'!$I$127</definedName>
    <definedName name="Acres13" localSheetId="11">'[1]Step 3. FA Balance'!$I$127</definedName>
    <definedName name="Acres13" localSheetId="4">'[1]Step 3. FA Balance'!$I$127</definedName>
    <definedName name="Acres13" localSheetId="9">'[1]Step 3. FA Balance'!$I$127</definedName>
    <definedName name="Acres13" localSheetId="10">'[1]Step 3. FA Balance'!$I$127</definedName>
    <definedName name="Acres13" localSheetId="7">'[1]Step 3. FA Balance'!$I$127</definedName>
    <definedName name="Acres13" localSheetId="8">'[1]Step 3. FA Balance'!$I$127</definedName>
    <definedName name="Acres13" localSheetId="1">'[1]Step 3. FA Balance'!$I$127</definedName>
    <definedName name="Acres13" localSheetId="3">'[1]Step 3. FA Balance'!$I$127</definedName>
    <definedName name="Acres13">'Step 3. FA Balance'!$I$127</definedName>
    <definedName name="Acres14" localSheetId="16">'[1]Step 3. FA Balance'!$I$129</definedName>
    <definedName name="Acres14" localSheetId="6">'[1]Step 3. FA Balance'!$I$129</definedName>
    <definedName name="Acres14" localSheetId="11">'[1]Step 3. FA Balance'!$I$129</definedName>
    <definedName name="Acres14" localSheetId="4">'[1]Step 3. FA Balance'!$I$129</definedName>
    <definedName name="Acres14" localSheetId="9">'[1]Step 3. FA Balance'!$I$129</definedName>
    <definedName name="Acres14" localSheetId="10">'[1]Step 3. FA Balance'!$I$129</definedName>
    <definedName name="Acres14" localSheetId="7">'[1]Step 3. FA Balance'!$I$129</definedName>
    <definedName name="Acres14" localSheetId="8">'[1]Step 3. FA Balance'!$I$129</definedName>
    <definedName name="Acres14" localSheetId="1">'[1]Step 3. FA Balance'!$I$129</definedName>
    <definedName name="Acres14" localSheetId="3">'[1]Step 3. FA Balance'!$I$129</definedName>
    <definedName name="Acres14">'Step 3. FA Balance'!$I$129</definedName>
    <definedName name="Acres15" localSheetId="16">'[1]Step 3. FA Balance'!$I$131</definedName>
    <definedName name="Acres15" localSheetId="6">'[1]Step 3. FA Balance'!$I$131</definedName>
    <definedName name="Acres15" localSheetId="11">'[1]Step 3. FA Balance'!$I$131</definedName>
    <definedName name="Acres15" localSheetId="4">'[1]Step 3. FA Balance'!$I$131</definedName>
    <definedName name="Acres15" localSheetId="9">'[1]Step 3. FA Balance'!$I$131</definedName>
    <definedName name="Acres15" localSheetId="10">'[1]Step 3. FA Balance'!$I$131</definedName>
    <definedName name="Acres15" localSheetId="7">'[1]Step 3. FA Balance'!$I$131</definedName>
    <definedName name="Acres15" localSheetId="8">'[1]Step 3. FA Balance'!$I$131</definedName>
    <definedName name="Acres15" localSheetId="1">'[1]Step 3. FA Balance'!$I$131</definedName>
    <definedName name="Acres15" localSheetId="3">'[1]Step 3. FA Balance'!$I$131</definedName>
    <definedName name="Acres15">'Step 3. FA Balance'!$I$131</definedName>
    <definedName name="Acres16" localSheetId="16">'[1]Step 3. FA Balance'!$I$133</definedName>
    <definedName name="Acres16" localSheetId="6">'[1]Step 3. FA Balance'!$I$133</definedName>
    <definedName name="Acres16" localSheetId="11">'[1]Step 3. FA Balance'!$I$133</definedName>
    <definedName name="Acres16" localSheetId="4">'[1]Step 3. FA Balance'!$I$133</definedName>
    <definedName name="Acres16" localSheetId="9">'[1]Step 3. FA Balance'!$I$133</definedName>
    <definedName name="Acres16" localSheetId="10">'[1]Step 3. FA Balance'!$I$133</definedName>
    <definedName name="Acres16" localSheetId="7">'[1]Step 3. FA Balance'!$I$133</definedName>
    <definedName name="Acres16" localSheetId="8">'[1]Step 3. FA Balance'!$I$133</definedName>
    <definedName name="Acres16" localSheetId="1">'[1]Step 3. FA Balance'!$I$133</definedName>
    <definedName name="Acres16" localSheetId="3">'[1]Step 3. FA Balance'!$I$133</definedName>
    <definedName name="Acres16">'Step 3. FA Balance'!$I$133</definedName>
    <definedName name="Acres17" localSheetId="16">'[1]Step 3. FA Balance'!$I$135</definedName>
    <definedName name="Acres17" localSheetId="6">'[1]Step 3. FA Balance'!$I$135</definedName>
    <definedName name="Acres17" localSheetId="11">'[1]Step 3. FA Balance'!$I$135</definedName>
    <definedName name="Acres17" localSheetId="4">'[1]Step 3. FA Balance'!$I$135</definedName>
    <definedName name="Acres17" localSheetId="9">'[1]Step 3. FA Balance'!$I$135</definedName>
    <definedName name="Acres17" localSheetId="10">'[1]Step 3. FA Balance'!$I$135</definedName>
    <definedName name="Acres17" localSheetId="7">'[1]Step 3. FA Balance'!$I$135</definedName>
    <definedName name="Acres17" localSheetId="8">'[1]Step 3. FA Balance'!$I$135</definedName>
    <definedName name="Acres17" localSheetId="1">'[1]Step 3. FA Balance'!$I$135</definedName>
    <definedName name="Acres17" localSheetId="3">'[1]Step 3. FA Balance'!$I$135</definedName>
    <definedName name="Acres17">'Step 3. FA Balance'!$I$135</definedName>
    <definedName name="Acres18" localSheetId="16">'[1]Step 3. FA Balance'!$I$137</definedName>
    <definedName name="Acres18" localSheetId="6">'[1]Step 3. FA Balance'!$I$137</definedName>
    <definedName name="Acres18" localSheetId="11">'[1]Step 3. FA Balance'!$I$137</definedName>
    <definedName name="Acres18" localSheetId="4">'[1]Step 3. FA Balance'!$I$137</definedName>
    <definedName name="Acres18" localSheetId="9">'[1]Step 3. FA Balance'!$I$137</definedName>
    <definedName name="Acres18" localSheetId="10">'[1]Step 3. FA Balance'!$I$137</definedName>
    <definedName name="Acres18" localSheetId="7">'[1]Step 3. FA Balance'!$I$137</definedName>
    <definedName name="Acres18" localSheetId="8">'[1]Step 3. FA Balance'!$I$137</definedName>
    <definedName name="Acres18" localSheetId="1">'[1]Step 3. FA Balance'!$I$137</definedName>
    <definedName name="Acres18" localSheetId="3">'[1]Step 3. FA Balance'!$I$137</definedName>
    <definedName name="Acres18">'Step 3. FA Balance'!$I$137</definedName>
    <definedName name="Acres19" localSheetId="16">'[1]Step 3. FA Balance'!$I$139</definedName>
    <definedName name="Acres19" localSheetId="6">'[1]Step 3. FA Balance'!$I$139</definedName>
    <definedName name="Acres19" localSheetId="11">'[1]Step 3. FA Balance'!$I$139</definedName>
    <definedName name="Acres19" localSheetId="4">'[1]Step 3. FA Balance'!$I$139</definedName>
    <definedName name="Acres19" localSheetId="9">'[1]Step 3. FA Balance'!$I$139</definedName>
    <definedName name="Acres19" localSheetId="10">'[1]Step 3. FA Balance'!$I$139</definedName>
    <definedName name="Acres19" localSheetId="7">'[1]Step 3. FA Balance'!$I$139</definedName>
    <definedName name="Acres19" localSheetId="8">'[1]Step 3. FA Balance'!$I$139</definedName>
    <definedName name="Acres19" localSheetId="1">'[1]Step 3. FA Balance'!$I$139</definedName>
    <definedName name="Acres19" localSheetId="3">'[1]Step 3. FA Balance'!$I$139</definedName>
    <definedName name="Acres19">'Step 3. FA Balance'!$I$139</definedName>
    <definedName name="Acres2" localSheetId="16">'[1]Step 3. FA Balance'!$I$105</definedName>
    <definedName name="Acres2" localSheetId="6">'[1]Step 3. FA Balance'!$I$105</definedName>
    <definedName name="Acres2" localSheetId="11">'[1]Step 3. FA Balance'!$I$105</definedName>
    <definedName name="Acres2" localSheetId="4">'[1]Step 3. FA Balance'!$I$105</definedName>
    <definedName name="Acres2" localSheetId="9">'[1]Step 3. FA Balance'!$I$105</definedName>
    <definedName name="Acres2" localSheetId="10">'[1]Step 3. FA Balance'!$I$105</definedName>
    <definedName name="Acres2" localSheetId="7">'[1]Step 3. FA Balance'!$I$105</definedName>
    <definedName name="Acres2" localSheetId="8">'[1]Step 3. FA Balance'!$I$105</definedName>
    <definedName name="Acres2" localSheetId="1">'[1]Step 3. FA Balance'!$I$105</definedName>
    <definedName name="Acres2" localSheetId="3">'[1]Step 3. FA Balance'!$I$105</definedName>
    <definedName name="Acres2">'Step 3. FA Balance'!$I$105</definedName>
    <definedName name="Acres20" localSheetId="16">'[1]Step 3. FA Balance'!$I$141</definedName>
    <definedName name="Acres20" localSheetId="6">'[1]Step 3. FA Balance'!$I$141</definedName>
    <definedName name="Acres20" localSheetId="11">'[1]Step 3. FA Balance'!$I$141</definedName>
    <definedName name="Acres20" localSheetId="4">'[1]Step 3. FA Balance'!$I$141</definedName>
    <definedName name="Acres20" localSheetId="9">'[1]Step 3. FA Balance'!$I$141</definedName>
    <definedName name="Acres20" localSheetId="10">'[1]Step 3. FA Balance'!$I$141</definedName>
    <definedName name="Acres20" localSheetId="7">'[1]Step 3. FA Balance'!$I$141</definedName>
    <definedName name="Acres20" localSheetId="8">'[1]Step 3. FA Balance'!$I$141</definedName>
    <definedName name="Acres20" localSheetId="1">'[1]Step 3. FA Balance'!$I$141</definedName>
    <definedName name="Acres20" localSheetId="3">'[1]Step 3. FA Balance'!$I$141</definedName>
    <definedName name="Acres20">'Step 3. FA Balance'!$I$141</definedName>
    <definedName name="Acres21" localSheetId="16">'[1]Step 3. FA Balance'!$I$143</definedName>
    <definedName name="Acres21" localSheetId="6">'[1]Step 3. FA Balance'!$I$143</definedName>
    <definedName name="Acres21" localSheetId="11">'[1]Step 3. FA Balance'!$I$143</definedName>
    <definedName name="Acres21" localSheetId="4">'[1]Step 3. FA Balance'!$I$143</definedName>
    <definedName name="Acres21" localSheetId="9">'[1]Step 3. FA Balance'!$I$143</definedName>
    <definedName name="Acres21" localSheetId="10">'[1]Step 3. FA Balance'!$I$143</definedName>
    <definedName name="Acres21" localSheetId="7">'[1]Step 3. FA Balance'!$I$143</definedName>
    <definedName name="Acres21" localSheetId="8">'[1]Step 3. FA Balance'!$I$143</definedName>
    <definedName name="Acres21" localSheetId="1">'[1]Step 3. FA Balance'!$I$143</definedName>
    <definedName name="Acres21" localSheetId="3">'[1]Step 3. FA Balance'!$I$143</definedName>
    <definedName name="Acres21">'Step 3. FA Balance'!$I$143</definedName>
    <definedName name="Acres22" localSheetId="16">'[1]Step 3. FA Balance'!$I$145</definedName>
    <definedName name="Acres22" localSheetId="6">'[1]Step 3. FA Balance'!$I$145</definedName>
    <definedName name="Acres22" localSheetId="11">'[1]Step 3. FA Balance'!$I$145</definedName>
    <definedName name="Acres22" localSheetId="4">'[1]Step 3. FA Balance'!$I$145</definedName>
    <definedName name="Acres22" localSheetId="9">'[1]Step 3. FA Balance'!$I$145</definedName>
    <definedName name="Acres22" localSheetId="10">'[1]Step 3. FA Balance'!$I$145</definedName>
    <definedName name="Acres22" localSheetId="7">'[1]Step 3. FA Balance'!$I$145</definedName>
    <definedName name="Acres22" localSheetId="8">'[1]Step 3. FA Balance'!$I$145</definedName>
    <definedName name="Acres22" localSheetId="1">'[1]Step 3. FA Balance'!$I$145</definedName>
    <definedName name="Acres22" localSheetId="3">'[1]Step 3. FA Balance'!$I$145</definedName>
    <definedName name="Acres22">'Step 3. FA Balance'!$I$145</definedName>
    <definedName name="Acres23" localSheetId="16">'[1]Step 3. FA Balance'!$I$147</definedName>
    <definedName name="Acres23" localSheetId="6">'[1]Step 3. FA Balance'!$I$147</definedName>
    <definedName name="Acres23" localSheetId="11">'[1]Step 3. FA Balance'!$I$147</definedName>
    <definedName name="Acres23" localSheetId="4">'[1]Step 3. FA Balance'!$I$147</definedName>
    <definedName name="Acres23" localSheetId="9">'[1]Step 3. FA Balance'!$I$147</definedName>
    <definedName name="Acres23" localSheetId="10">'[1]Step 3. FA Balance'!$I$147</definedName>
    <definedName name="Acres23" localSheetId="7">'[1]Step 3. FA Balance'!$I$147</definedName>
    <definedName name="Acres23" localSheetId="8">'[1]Step 3. FA Balance'!$I$147</definedName>
    <definedName name="Acres23" localSheetId="1">'[1]Step 3. FA Balance'!$I$147</definedName>
    <definedName name="Acres23" localSheetId="3">'[1]Step 3. FA Balance'!$I$147</definedName>
    <definedName name="Acres23">'Step 3. FA Balance'!$I$147</definedName>
    <definedName name="Acres24" localSheetId="16">'[1]Step 3. FA Balance'!$I$149</definedName>
    <definedName name="Acres24" localSheetId="6">'[1]Step 3. FA Balance'!$I$149</definedName>
    <definedName name="Acres24" localSheetId="11">'[1]Step 3. FA Balance'!$I$149</definedName>
    <definedName name="Acres24" localSheetId="4">'[1]Step 3. FA Balance'!$I$149</definedName>
    <definedName name="Acres24" localSheetId="9">'[1]Step 3. FA Balance'!$I$149</definedName>
    <definedName name="Acres24" localSheetId="10">'[1]Step 3. FA Balance'!$I$149</definedName>
    <definedName name="Acres24" localSheetId="7">'[1]Step 3. FA Balance'!$I$149</definedName>
    <definedName name="Acres24" localSheetId="8">'[1]Step 3. FA Balance'!$I$149</definedName>
    <definedName name="Acres24" localSheetId="1">'[1]Step 3. FA Balance'!$I$149</definedName>
    <definedName name="Acres24" localSheetId="3">'[1]Step 3. FA Balance'!$I$149</definedName>
    <definedName name="Acres24">'Step 3. FA Balance'!$I$149</definedName>
    <definedName name="Acres3" localSheetId="16">'[1]Step 3. FA Balance'!$I$107</definedName>
    <definedName name="Acres3" localSheetId="6">'[1]Step 3. FA Balance'!$I$107</definedName>
    <definedName name="Acres3" localSheetId="11">'[1]Step 3. FA Balance'!$I$107</definedName>
    <definedName name="Acres3" localSheetId="4">'[1]Step 3. FA Balance'!$I$107</definedName>
    <definedName name="Acres3" localSheetId="9">'[1]Step 3. FA Balance'!$I$107</definedName>
    <definedName name="Acres3" localSheetId="10">'[1]Step 3. FA Balance'!$I$107</definedName>
    <definedName name="Acres3" localSheetId="7">'[1]Step 3. FA Balance'!$I$107</definedName>
    <definedName name="Acres3" localSheetId="8">'[1]Step 3. FA Balance'!$I$107</definedName>
    <definedName name="Acres3" localSheetId="1">'[1]Step 3. FA Balance'!$I$107</definedName>
    <definedName name="Acres3" localSheetId="3">'[1]Step 3. FA Balance'!$I$107</definedName>
    <definedName name="Acres3">'Step 3. FA Balance'!$I$107</definedName>
    <definedName name="Acres4" localSheetId="16">'[1]Step 3. FA Balance'!$I$109</definedName>
    <definedName name="Acres4" localSheetId="6">'[1]Step 3. FA Balance'!$I$109</definedName>
    <definedName name="Acres4" localSheetId="11">'[1]Step 3. FA Balance'!$I$109</definedName>
    <definedName name="Acres4" localSheetId="4">'[1]Step 3. FA Balance'!$I$109</definedName>
    <definedName name="Acres4" localSheetId="9">'[1]Step 3. FA Balance'!$I$109</definedName>
    <definedName name="Acres4" localSheetId="10">'[1]Step 3. FA Balance'!$I$109</definedName>
    <definedName name="Acres4" localSheetId="7">'[1]Step 3. FA Balance'!$I$109</definedName>
    <definedName name="Acres4" localSheetId="8">'[1]Step 3. FA Balance'!$I$109</definedName>
    <definedName name="Acres4" localSheetId="1">'[1]Step 3. FA Balance'!$I$109</definedName>
    <definedName name="Acres4" localSheetId="3">'[1]Step 3. FA Balance'!$I$109</definedName>
    <definedName name="Acres4">'Step 3. FA Balance'!$I$109</definedName>
    <definedName name="Acres5" localSheetId="16">'[1]Step 3. FA Balance'!$I$111</definedName>
    <definedName name="Acres5" localSheetId="6">'[1]Step 3. FA Balance'!$I$111</definedName>
    <definedName name="Acres5" localSheetId="11">'[1]Step 3. FA Balance'!$I$111</definedName>
    <definedName name="Acres5" localSheetId="4">'[1]Step 3. FA Balance'!$I$111</definedName>
    <definedName name="Acres5" localSheetId="9">'[1]Step 3. FA Balance'!$I$111</definedName>
    <definedName name="Acres5" localSheetId="10">'[1]Step 3. FA Balance'!$I$111</definedName>
    <definedName name="Acres5" localSheetId="7">'[1]Step 3. FA Balance'!$I$111</definedName>
    <definedName name="Acres5" localSheetId="8">'[1]Step 3. FA Balance'!$I$111</definedName>
    <definedName name="Acres5" localSheetId="1">'[1]Step 3. FA Balance'!$I$111</definedName>
    <definedName name="Acres5" localSheetId="3">'[1]Step 3. FA Balance'!$I$111</definedName>
    <definedName name="Acres5">'Step 3. FA Balance'!$I$111</definedName>
    <definedName name="Acres6" localSheetId="16">'[1]Step 3. FA Balance'!$I$113</definedName>
    <definedName name="Acres6" localSheetId="6">'[1]Step 3. FA Balance'!$I$113</definedName>
    <definedName name="Acres6" localSheetId="11">'[1]Step 3. FA Balance'!$I$113</definedName>
    <definedName name="Acres6" localSheetId="4">'[1]Step 3. FA Balance'!$I$113</definedName>
    <definedName name="Acres6" localSheetId="9">'[1]Step 3. FA Balance'!$I$113</definedName>
    <definedName name="Acres6" localSheetId="10">'[1]Step 3. FA Balance'!$I$113</definedName>
    <definedName name="Acres6" localSheetId="7">'[1]Step 3. FA Balance'!$I$113</definedName>
    <definedName name="Acres6" localSheetId="8">'[1]Step 3. FA Balance'!$I$113</definedName>
    <definedName name="Acres6" localSheetId="1">'[1]Step 3. FA Balance'!$I$113</definedName>
    <definedName name="Acres6" localSheetId="3">'[1]Step 3. FA Balance'!$I$113</definedName>
    <definedName name="Acres6">'Step 3. FA Balance'!$I$113</definedName>
    <definedName name="Acres7" localSheetId="16">'[1]Step 3. FA Balance'!$I$115</definedName>
    <definedName name="Acres7" localSheetId="6">'[1]Step 3. FA Balance'!$I$115</definedName>
    <definedName name="Acres7" localSheetId="11">'[1]Step 3. FA Balance'!$I$115</definedName>
    <definedName name="Acres7" localSheetId="4">'[1]Step 3. FA Balance'!$I$115</definedName>
    <definedName name="Acres7" localSheetId="9">'[1]Step 3. FA Balance'!$I$115</definedName>
    <definedName name="Acres7" localSheetId="10">'[1]Step 3. FA Balance'!$I$115</definedName>
    <definedName name="Acres7" localSheetId="7">'[1]Step 3. FA Balance'!$I$115</definedName>
    <definedName name="Acres7" localSheetId="8">'[1]Step 3. FA Balance'!$I$115</definedName>
    <definedName name="Acres7" localSheetId="1">'[1]Step 3. FA Balance'!$I$115</definedName>
    <definedName name="Acres7" localSheetId="3">'[1]Step 3. FA Balance'!$I$115</definedName>
    <definedName name="Acres7">'Step 3. FA Balance'!$I$115</definedName>
    <definedName name="Acres8" localSheetId="16">'[1]Step 3. FA Balance'!$I$117</definedName>
    <definedName name="Acres8" localSheetId="6">'[1]Step 3. FA Balance'!$I$117</definedName>
    <definedName name="Acres8" localSheetId="11">'[1]Step 3. FA Balance'!$I$117</definedName>
    <definedName name="Acres8" localSheetId="4">'[1]Step 3. FA Balance'!$I$117</definedName>
    <definedName name="Acres8" localSheetId="9">'[1]Step 3. FA Balance'!$I$117</definedName>
    <definedName name="Acres8" localSheetId="10">'[1]Step 3. FA Balance'!$I$117</definedName>
    <definedName name="Acres8" localSheetId="7">'[1]Step 3. FA Balance'!$I$117</definedName>
    <definedName name="Acres8" localSheetId="8">'[1]Step 3. FA Balance'!$I$117</definedName>
    <definedName name="Acres8" localSheetId="1">'[1]Step 3. FA Balance'!$I$117</definedName>
    <definedName name="Acres8" localSheetId="3">'[1]Step 3. FA Balance'!$I$117</definedName>
    <definedName name="Acres8">'Step 3. FA Balance'!$I$117</definedName>
    <definedName name="Acres9" localSheetId="16">'[1]Step 3. FA Balance'!$I$119</definedName>
    <definedName name="Acres9" localSheetId="6">'[1]Step 3. FA Balance'!$I$119</definedName>
    <definedName name="Acres9" localSheetId="11">'[1]Step 3. FA Balance'!$I$119</definedName>
    <definedName name="Acres9" localSheetId="4">'[1]Step 3. FA Balance'!$I$119</definedName>
    <definedName name="Acres9" localSheetId="9">'[1]Step 3. FA Balance'!$I$119</definedName>
    <definedName name="Acres9" localSheetId="10">'[1]Step 3. FA Balance'!$I$119</definedName>
    <definedName name="Acres9" localSheetId="7">'[1]Step 3. FA Balance'!$I$119</definedName>
    <definedName name="Acres9" localSheetId="8">'[1]Step 3. FA Balance'!$I$119</definedName>
    <definedName name="Acres9" localSheetId="1">'[1]Step 3. FA Balance'!$I$119</definedName>
    <definedName name="Acres9" localSheetId="3">'[1]Step 3. FA Balance'!$I$119</definedName>
    <definedName name="Acres9">'Step 3. FA Balance'!$I$119</definedName>
    <definedName name="AdvDisAdv">Instructions!$C$56</definedName>
    <definedName name="AltAcres1" localSheetId="16">'[1]Step 3. FA Balance'!$I$199</definedName>
    <definedName name="AltAcres1" localSheetId="6">'[1]Step 3. FA Balance'!$I$199</definedName>
    <definedName name="AltAcres1" localSheetId="11">'[1]Step 3. FA Balance'!$I$199</definedName>
    <definedName name="AltAcres1" localSheetId="4">'[1]Step 3. FA Balance'!$I$199</definedName>
    <definedName name="AltAcres1" localSheetId="9">'[1]Step 3. FA Balance'!$I$199</definedName>
    <definedName name="AltAcres1" localSheetId="10">'[1]Step 3. FA Balance'!$I$199</definedName>
    <definedName name="AltAcres1" localSheetId="7">'[1]Step 3. FA Balance'!$I$199</definedName>
    <definedName name="AltAcres1" localSheetId="8">'[1]Step 3. FA Balance'!$I$199</definedName>
    <definedName name="AltAcres1" localSheetId="1">'[1]Step 3. FA Balance'!$I$199</definedName>
    <definedName name="AltAcres1" localSheetId="3">'[1]Step 3. FA Balance'!$I$199</definedName>
    <definedName name="AltAcres1">'Step 3. FA Balance'!$I$199</definedName>
    <definedName name="AltAcres2" localSheetId="16">'[1]Step 3. FA Balance'!$I$200</definedName>
    <definedName name="AltAcres2" localSheetId="6">'[1]Step 3. FA Balance'!$I$200</definedName>
    <definedName name="AltAcres2" localSheetId="11">'[1]Step 3. FA Balance'!$I$200</definedName>
    <definedName name="AltAcres2" localSheetId="4">'[1]Step 3. FA Balance'!$I$200</definedName>
    <definedName name="AltAcres2" localSheetId="9">'[1]Step 3. FA Balance'!$I$200</definedName>
    <definedName name="AltAcres2" localSheetId="10">'[1]Step 3. FA Balance'!$I$200</definedName>
    <definedName name="AltAcres2" localSheetId="7">'[1]Step 3. FA Balance'!$I$200</definedName>
    <definedName name="AltAcres2" localSheetId="8">'[1]Step 3. FA Balance'!$I$200</definedName>
    <definedName name="AltAcres2" localSheetId="1">'[1]Step 3. FA Balance'!$I$200</definedName>
    <definedName name="AltAcres2" localSheetId="3">'[1]Step 3. FA Balance'!$I$200</definedName>
    <definedName name="AltAcres2">'Step 3. FA Balance'!$I$200</definedName>
    <definedName name="AltAcres3" localSheetId="16">'[1]Step 3. FA Balance'!$I$201</definedName>
    <definedName name="AltAcres3" localSheetId="6">'[1]Step 3. FA Balance'!$I$201</definedName>
    <definedName name="AltAcres3" localSheetId="11">'[1]Step 3. FA Balance'!$I$201</definedName>
    <definedName name="AltAcres3" localSheetId="4">'[1]Step 3. FA Balance'!$I$201</definedName>
    <definedName name="AltAcres3" localSheetId="9">'[1]Step 3. FA Balance'!$I$201</definedName>
    <definedName name="AltAcres3" localSheetId="10">'[1]Step 3. FA Balance'!$I$201</definedName>
    <definedName name="AltAcres3" localSheetId="7">'[1]Step 3. FA Balance'!$I$201</definedName>
    <definedName name="AltAcres3" localSheetId="8">'[1]Step 3. FA Balance'!$I$201</definedName>
    <definedName name="AltAcres3" localSheetId="1">'[1]Step 3. FA Balance'!$I$201</definedName>
    <definedName name="AltAcres3" localSheetId="3">'[1]Step 3. FA Balance'!$I$201</definedName>
    <definedName name="AltAcres3">'Step 3. FA Balance'!$I$201</definedName>
    <definedName name="AltAcres4" localSheetId="16">'[1]Step 3. FA Balance'!$I$202</definedName>
    <definedName name="AltAcres4" localSheetId="6">'[1]Step 3. FA Balance'!$I$202</definedName>
    <definedName name="AltAcres4" localSheetId="11">'[1]Step 3. FA Balance'!$I$202</definedName>
    <definedName name="AltAcres4" localSheetId="4">'[1]Step 3. FA Balance'!$I$202</definedName>
    <definedName name="AltAcres4" localSheetId="9">'[1]Step 3. FA Balance'!$I$202</definedName>
    <definedName name="AltAcres4" localSheetId="10">'[1]Step 3. FA Balance'!$I$202</definedName>
    <definedName name="AltAcres4" localSheetId="7">'[1]Step 3. FA Balance'!$I$202</definedName>
    <definedName name="AltAcres4" localSheetId="8">'[1]Step 3. FA Balance'!$I$202</definedName>
    <definedName name="AltAcres4" localSheetId="1">'[1]Step 3. FA Balance'!$I$202</definedName>
    <definedName name="AltAcres4" localSheetId="3">'[1]Step 3. FA Balance'!$I$202</definedName>
    <definedName name="AltAcres4">'Step 3. FA Balance'!$I$202</definedName>
    <definedName name="AltAcres5" localSheetId="16">'[1]Step 3. FA Balance'!$I$203</definedName>
    <definedName name="AltAcres5" localSheetId="6">'[1]Step 3. FA Balance'!$I$203</definedName>
    <definedName name="AltAcres5" localSheetId="11">'[1]Step 3. FA Balance'!$I$203</definedName>
    <definedName name="AltAcres5" localSheetId="4">'[1]Step 3. FA Balance'!$I$203</definedName>
    <definedName name="AltAcres5" localSheetId="9">'[1]Step 3. FA Balance'!$I$203</definedName>
    <definedName name="AltAcres5" localSheetId="10">'[1]Step 3. FA Balance'!$I$203</definedName>
    <definedName name="AltAcres5" localSheetId="7">'[1]Step 3. FA Balance'!$I$203</definedName>
    <definedName name="AltAcres5" localSheetId="8">'[1]Step 3. FA Balance'!$I$203</definedName>
    <definedName name="AltAcres5" localSheetId="1">'[1]Step 3. FA Balance'!$I$203</definedName>
    <definedName name="AltAcres5" localSheetId="3">'[1]Step 3. FA Balance'!$I$203</definedName>
    <definedName name="AltAcres5">'Step 3. FA Balance'!$I$203</definedName>
    <definedName name="AltAcres6" localSheetId="16">'[1]Step 3. FA Balance'!$I$204</definedName>
    <definedName name="AltAcres6" localSheetId="6">'[1]Step 3. FA Balance'!$I$204</definedName>
    <definedName name="AltAcres6" localSheetId="11">'[1]Step 3. FA Balance'!$I$204</definedName>
    <definedName name="AltAcres6" localSheetId="4">'[1]Step 3. FA Balance'!$I$204</definedName>
    <definedName name="AltAcres6" localSheetId="9">'[1]Step 3. FA Balance'!$I$204</definedName>
    <definedName name="AltAcres6" localSheetId="10">'[1]Step 3. FA Balance'!$I$204</definedName>
    <definedName name="AltAcres6" localSheetId="7">'[1]Step 3. FA Balance'!$I$204</definedName>
    <definedName name="AltAcres6" localSheetId="8">'[1]Step 3. FA Balance'!$I$204</definedName>
    <definedName name="AltAcres6" localSheetId="1">'[1]Step 3. FA Balance'!$I$204</definedName>
    <definedName name="AltAcres6" localSheetId="3">'[1]Step 3. FA Balance'!$I$204</definedName>
    <definedName name="AltAcres6">'Step 3. FA Balance'!$I$204</definedName>
    <definedName name="AltEff1" localSheetId="16">'[1]Step 3. FA Balance'!$L$199</definedName>
    <definedName name="AltEff1" localSheetId="6">'[1]Step 3. FA Balance'!$L$199</definedName>
    <definedName name="AltEff1" localSheetId="11">'[1]Step 3. FA Balance'!$L$199</definedName>
    <definedName name="AltEff1" localSheetId="4">'[1]Step 3. FA Balance'!$L$199</definedName>
    <definedName name="AltEff1" localSheetId="9">'[1]Step 3. FA Balance'!$L$199</definedName>
    <definedName name="AltEff1" localSheetId="10">'[1]Step 3. FA Balance'!$L$199</definedName>
    <definedName name="AltEff1" localSheetId="7">'[1]Step 3. FA Balance'!$L$199</definedName>
    <definedName name="AltEff1" localSheetId="8">'[1]Step 3. FA Balance'!$L$199</definedName>
    <definedName name="AltEff1" localSheetId="1">'[1]Step 3. FA Balance'!$L$199</definedName>
    <definedName name="AltEff1" localSheetId="3">'[1]Step 3. FA Balance'!$L$199</definedName>
    <definedName name="AltEff1">'Step 3. FA Balance'!$L$199</definedName>
    <definedName name="AltEff2" localSheetId="16">'[1]Step 3. FA Balance'!$L$200</definedName>
    <definedName name="AltEff2" localSheetId="6">'[1]Step 3. FA Balance'!$L$200</definedName>
    <definedName name="AltEff2" localSheetId="11">'[1]Step 3. FA Balance'!$L$200</definedName>
    <definedName name="AltEff2" localSheetId="4">'[1]Step 3. FA Balance'!$L$200</definedName>
    <definedName name="AltEff2" localSheetId="9">'[1]Step 3. FA Balance'!$L$200</definedName>
    <definedName name="AltEff2" localSheetId="10">'[1]Step 3. FA Balance'!$L$200</definedName>
    <definedName name="AltEff2" localSheetId="7">'[1]Step 3. FA Balance'!$L$200</definedName>
    <definedName name="AltEff2" localSheetId="8">'[1]Step 3. FA Balance'!$L$200</definedName>
    <definedName name="AltEff2" localSheetId="1">'[1]Step 3. FA Balance'!$L$200</definedName>
    <definedName name="AltEff2" localSheetId="3">'[1]Step 3. FA Balance'!$L$200</definedName>
    <definedName name="AltEff2">'Step 3. FA Balance'!$L$200</definedName>
    <definedName name="AltEff3" localSheetId="16">'[1]Step 3. FA Balance'!$L$201</definedName>
    <definedName name="AltEff3" localSheetId="6">'[1]Step 3. FA Balance'!$L$201</definedName>
    <definedName name="AltEff3" localSheetId="11">'[1]Step 3. FA Balance'!$L$201</definedName>
    <definedName name="AltEff3" localSheetId="4">'[1]Step 3. FA Balance'!$L$201</definedName>
    <definedName name="AltEff3" localSheetId="9">'[1]Step 3. FA Balance'!$L$201</definedName>
    <definedName name="AltEff3" localSheetId="10">'[1]Step 3. FA Balance'!$L$201</definedName>
    <definedName name="AltEff3" localSheetId="7">'[1]Step 3. FA Balance'!$L$201</definedName>
    <definedName name="AltEff3" localSheetId="8">'[1]Step 3. FA Balance'!$L$201</definedName>
    <definedName name="AltEff3" localSheetId="1">'[1]Step 3. FA Balance'!$L$201</definedName>
    <definedName name="AltEff3" localSheetId="3">'[1]Step 3. FA Balance'!$L$201</definedName>
    <definedName name="AltEff3">'Step 3. FA Balance'!$L$201</definedName>
    <definedName name="AltEff4" localSheetId="16">'[1]Step 3. FA Balance'!$L$202</definedName>
    <definedName name="AltEff4" localSheetId="6">'[1]Step 3. FA Balance'!$L$202</definedName>
    <definedName name="AltEff4" localSheetId="11">'[1]Step 3. FA Balance'!$L$202</definedName>
    <definedName name="AltEff4" localSheetId="4">'[1]Step 3. FA Balance'!$L$202</definedName>
    <definedName name="AltEff4" localSheetId="9">'[1]Step 3. FA Balance'!$L$202</definedName>
    <definedName name="AltEff4" localSheetId="10">'[1]Step 3. FA Balance'!$L$202</definedName>
    <definedName name="AltEff4" localSheetId="7">'[1]Step 3. FA Balance'!$L$202</definedName>
    <definedName name="AltEff4" localSheetId="8">'[1]Step 3. FA Balance'!$L$202</definedName>
    <definedName name="AltEff4" localSheetId="1">'[1]Step 3. FA Balance'!$L$202</definedName>
    <definedName name="AltEff4" localSheetId="3">'[1]Step 3. FA Balance'!$L$202</definedName>
    <definedName name="AltEff4">'Step 3. FA Balance'!$L$202</definedName>
    <definedName name="AltEff5" localSheetId="16">'[1]Step 3. FA Balance'!$L$203</definedName>
    <definedName name="AltEff5" localSheetId="6">'[1]Step 3. FA Balance'!$L$203</definedName>
    <definedName name="AltEff5" localSheetId="11">'[1]Step 3. FA Balance'!$L$203</definedName>
    <definedName name="AltEff5" localSheetId="4">'[1]Step 3. FA Balance'!$L$203</definedName>
    <definedName name="AltEff5" localSheetId="9">'[1]Step 3. FA Balance'!$L$203</definedName>
    <definedName name="AltEff5" localSheetId="10">'[1]Step 3. FA Balance'!$L$203</definedName>
    <definedName name="AltEff5" localSheetId="7">'[1]Step 3. FA Balance'!$L$203</definedName>
    <definedName name="AltEff5" localSheetId="8">'[1]Step 3. FA Balance'!$L$203</definedName>
    <definedName name="AltEff5" localSheetId="1">'[1]Step 3. FA Balance'!$L$203</definedName>
    <definedName name="AltEff5" localSheetId="3">'[1]Step 3. FA Balance'!$L$203</definedName>
    <definedName name="AltEff5">'Step 3. FA Balance'!$L$203</definedName>
    <definedName name="AltEff6" localSheetId="16">'[1]Step 3. FA Balance'!$L$204</definedName>
    <definedName name="AltEff6" localSheetId="6">'[1]Step 3. FA Balance'!$L$204</definedName>
    <definedName name="AltEff6" localSheetId="11">'[1]Step 3. FA Balance'!$L$204</definedName>
    <definedName name="AltEff6" localSheetId="4">'[1]Step 3. FA Balance'!$L$204</definedName>
    <definedName name="AltEff6" localSheetId="9">'[1]Step 3. FA Balance'!$L$204</definedName>
    <definedName name="AltEff6" localSheetId="10">'[1]Step 3. FA Balance'!$L$204</definedName>
    <definedName name="AltEff6" localSheetId="7">'[1]Step 3. FA Balance'!$L$204</definedName>
    <definedName name="AltEff6" localSheetId="8">'[1]Step 3. FA Balance'!$L$204</definedName>
    <definedName name="AltEff6" localSheetId="1">'[1]Step 3. FA Balance'!$L$204</definedName>
    <definedName name="AltEff6" localSheetId="3">'[1]Step 3. FA Balance'!$L$204</definedName>
    <definedName name="AltEff6">'Step 3. FA Balance'!$L$204</definedName>
    <definedName name="AltField1" localSheetId="16">'[1]Step 3. FA Balance'!$G$199</definedName>
    <definedName name="AltField1" localSheetId="6">'[1]Step 3. FA Balance'!$G$199</definedName>
    <definedName name="AltField1" localSheetId="11">'[1]Step 3. FA Balance'!$G$199</definedName>
    <definedName name="AltField1" localSheetId="4">'[1]Step 3. FA Balance'!$G$199</definedName>
    <definedName name="AltField1" localSheetId="9">'[1]Step 3. FA Balance'!$G$199</definedName>
    <definedName name="AltField1" localSheetId="10">'[1]Step 3. FA Balance'!$G$199</definedName>
    <definedName name="AltField1" localSheetId="7">'[1]Step 3. FA Balance'!$G$199</definedName>
    <definedName name="AltField1" localSheetId="8">'[1]Step 3. FA Balance'!$G$199</definedName>
    <definedName name="AltField1" localSheetId="1">'[1]Step 3. FA Balance'!$G$199</definedName>
    <definedName name="AltField1" localSheetId="3">'[1]Step 3. FA Balance'!$G$199</definedName>
    <definedName name="AltField1">'Step 3. FA Balance'!$G$199</definedName>
    <definedName name="AltField2" localSheetId="16">'[1]Step 3. FA Balance'!$G$200</definedName>
    <definedName name="AltField2" localSheetId="6">'[1]Step 3. FA Balance'!$G$200</definedName>
    <definedName name="AltField2" localSheetId="11">'[1]Step 3. FA Balance'!$G$200</definedName>
    <definedName name="AltField2" localSheetId="4">'[1]Step 3. FA Balance'!$G$200</definedName>
    <definedName name="AltField2" localSheetId="9">'[1]Step 3. FA Balance'!$G$200</definedName>
    <definedName name="AltField2" localSheetId="10">'[1]Step 3. FA Balance'!$G$200</definedName>
    <definedName name="AltField2" localSheetId="7">'[1]Step 3. FA Balance'!$G$200</definedName>
    <definedName name="AltField2" localSheetId="8">'[1]Step 3. FA Balance'!$G$200</definedName>
    <definedName name="AltField2" localSheetId="1">'[1]Step 3. FA Balance'!$G$200</definedName>
    <definedName name="AltField2" localSheetId="3">'[1]Step 3. FA Balance'!$G$200</definedName>
    <definedName name="AltField2">'Step 3. FA Balance'!$G$200</definedName>
    <definedName name="AltField3" localSheetId="16">'[1]Step 3. FA Balance'!$G$201</definedName>
    <definedName name="AltField3" localSheetId="6">'[1]Step 3. FA Balance'!$G$201</definedName>
    <definedName name="AltField3" localSheetId="11">'[1]Step 3. FA Balance'!$G$201</definedName>
    <definedName name="AltField3" localSheetId="4">'[1]Step 3. FA Balance'!$G$201</definedName>
    <definedName name="AltField3" localSheetId="9">'[1]Step 3. FA Balance'!$G$201</definedName>
    <definedName name="AltField3" localSheetId="10">'[1]Step 3. FA Balance'!$G$201</definedName>
    <definedName name="AltField3" localSheetId="7">'[1]Step 3. FA Balance'!$G$201</definedName>
    <definedName name="AltField3" localSheetId="8">'[1]Step 3. FA Balance'!$G$201</definedName>
    <definedName name="AltField3" localSheetId="1">'[1]Step 3. FA Balance'!$G$201</definedName>
    <definedName name="AltField3" localSheetId="3">'[1]Step 3. FA Balance'!$G$201</definedName>
    <definedName name="AltField3">'Step 3. FA Balance'!$G$201</definedName>
    <definedName name="AltField4" localSheetId="16">'[1]Step 3. FA Balance'!$G$202</definedName>
    <definedName name="AltField4" localSheetId="6">'[1]Step 3. FA Balance'!$G$202</definedName>
    <definedName name="AltField4" localSheetId="11">'[1]Step 3. FA Balance'!$G$202</definedName>
    <definedName name="AltField4" localSheetId="4">'[1]Step 3. FA Balance'!$G$202</definedName>
    <definedName name="AltField4" localSheetId="9">'[1]Step 3. FA Balance'!$G$202</definedName>
    <definedName name="AltField4" localSheetId="10">'[1]Step 3. FA Balance'!$G$202</definedName>
    <definedName name="AltField4" localSheetId="7">'[1]Step 3. FA Balance'!$G$202</definedName>
    <definedName name="AltField4" localSheetId="8">'[1]Step 3. FA Balance'!$G$202</definedName>
    <definedName name="AltField4" localSheetId="1">'[1]Step 3. FA Balance'!$G$202</definedName>
    <definedName name="AltField4" localSheetId="3">'[1]Step 3. FA Balance'!$G$202</definedName>
    <definedName name="AltField4">'Step 3. FA Balance'!$G$202</definedName>
    <definedName name="AltField5" localSheetId="16">'[1]Step 3. FA Balance'!$G$203</definedName>
    <definedName name="AltField5" localSheetId="6">'[1]Step 3. FA Balance'!$G$203</definedName>
    <definedName name="AltField5" localSheetId="11">'[1]Step 3. FA Balance'!$G$203</definedName>
    <definedName name="AltField5" localSheetId="4">'[1]Step 3. FA Balance'!$G$203</definedName>
    <definedName name="AltField5" localSheetId="9">'[1]Step 3. FA Balance'!$G$203</definedName>
    <definedName name="AltField5" localSheetId="10">'[1]Step 3. FA Balance'!$G$203</definedName>
    <definedName name="AltField5" localSheetId="7">'[1]Step 3. FA Balance'!$G$203</definedName>
    <definedName name="AltField5" localSheetId="8">'[1]Step 3. FA Balance'!$G$203</definedName>
    <definedName name="AltField5" localSheetId="1">'[1]Step 3. FA Balance'!$G$203</definedName>
    <definedName name="AltField5" localSheetId="3">'[1]Step 3. FA Balance'!$G$203</definedName>
    <definedName name="AltField5">'Step 3. FA Balance'!$G$203</definedName>
    <definedName name="AltField6" localSheetId="16">'[1]Step 3. FA Balance'!$G$204</definedName>
    <definedName name="AltField6" localSheetId="6">'[1]Step 3. FA Balance'!$G$204</definedName>
    <definedName name="AltField6" localSheetId="11">'[1]Step 3. FA Balance'!$G$204</definedName>
    <definedName name="AltField6" localSheetId="4">'[1]Step 3. FA Balance'!$G$204</definedName>
    <definedName name="AltField6" localSheetId="9">'[1]Step 3. FA Balance'!$G$204</definedName>
    <definedName name="AltField6" localSheetId="10">'[1]Step 3. FA Balance'!$G$204</definedName>
    <definedName name="AltField6" localSheetId="7">'[1]Step 3. FA Balance'!$G$204</definedName>
    <definedName name="AltField6" localSheetId="8">'[1]Step 3. FA Balance'!$G$204</definedName>
    <definedName name="AltField6" localSheetId="1">'[1]Step 3. FA Balance'!$G$204</definedName>
    <definedName name="AltField6" localSheetId="3">'[1]Step 3. FA Balance'!$G$204</definedName>
    <definedName name="AltField6">'Step 3. FA Balance'!$G$204</definedName>
    <definedName name="AltKind1">'Step 3. FA Balance'!$H$199</definedName>
    <definedName name="AltKind2">'Step 3. FA Balance'!$H$200</definedName>
    <definedName name="AltKind3">'Step 3. FA Balance'!$H$201</definedName>
    <definedName name="AltKind4">'Step 3. FA Balance'!$H$202</definedName>
    <definedName name="AltKind5">'Step 3. FA Balance'!$H$203</definedName>
    <definedName name="AltKind6">'Step 3. FA Balance'!$H$204</definedName>
    <definedName name="AltPast1">'Step 3. FA Balance'!$199:$199</definedName>
    <definedName name="AltPast2">'Step 3. FA Balance'!$200:$200</definedName>
    <definedName name="AltPast3">'Step 3. FA Balance'!$201:$201</definedName>
    <definedName name="AltPast4">'Step 3. FA Balance'!$202:$202</definedName>
    <definedName name="AltPast5">'Step 3. FA Balance'!$203:$203</definedName>
    <definedName name="AltPast6">'Step 3. FA Balance'!$204:$204</definedName>
    <definedName name="AltPastDemand">'Step 3. FA Balance'!$91:$92</definedName>
    <definedName name="AltPastSum">'Step 3. FA Balance'!$234:$238</definedName>
    <definedName name="AltPasture">'Step 3. FA Balance'!$189:$206</definedName>
    <definedName name="AltPastureNo">Calculations!$K$59</definedName>
    <definedName name="AltProduction">Instructions!$D$132</definedName>
    <definedName name="AltYield1" localSheetId="16">'[1]Step 3. FA Balance'!$J$199</definedName>
    <definedName name="AltYield1" localSheetId="6">'[1]Step 3. FA Balance'!$J$199</definedName>
    <definedName name="AltYield1" localSheetId="11">'[1]Step 3. FA Balance'!$J$199</definedName>
    <definedName name="AltYield1" localSheetId="4">'[1]Step 3. FA Balance'!$J$199</definedName>
    <definedName name="AltYield1" localSheetId="9">'[1]Step 3. FA Balance'!$J$199</definedName>
    <definedName name="AltYield1" localSheetId="10">'[1]Step 3. FA Balance'!$J$199</definedName>
    <definedName name="AltYield1" localSheetId="7">'[1]Step 3. FA Balance'!$J$199</definedName>
    <definedName name="AltYield1" localSheetId="8">'[1]Step 3. FA Balance'!$J$199</definedName>
    <definedName name="AltYield1" localSheetId="1">'[1]Step 3. FA Balance'!$J$199</definedName>
    <definedName name="AltYield1" localSheetId="3">'[1]Step 3. FA Balance'!$J$199</definedName>
    <definedName name="AltYield1">'Step 3. FA Balance'!$J$199</definedName>
    <definedName name="AltYield2" localSheetId="16">'[1]Step 3. FA Balance'!$J$200</definedName>
    <definedName name="AltYield2" localSheetId="6">'[1]Step 3. FA Balance'!$J$200</definedName>
    <definedName name="AltYield2" localSheetId="11">'[1]Step 3. FA Balance'!$J$200</definedName>
    <definedName name="AltYield2" localSheetId="4">'[1]Step 3. FA Balance'!$J$200</definedName>
    <definedName name="AltYield2" localSheetId="9">'[1]Step 3. FA Balance'!$J$200</definedName>
    <definedName name="AltYield2" localSheetId="10">'[1]Step 3. FA Balance'!$J$200</definedName>
    <definedName name="AltYield2" localSheetId="7">'[1]Step 3. FA Balance'!$J$200</definedName>
    <definedName name="AltYield2" localSheetId="8">'[1]Step 3. FA Balance'!$J$200</definedName>
    <definedName name="AltYield2" localSheetId="1">'[1]Step 3. FA Balance'!$J$200</definedName>
    <definedName name="AltYield2" localSheetId="3">'[1]Step 3. FA Balance'!$J$200</definedName>
    <definedName name="AltYield2">'Step 3. FA Balance'!$J$200</definedName>
    <definedName name="AltYield3" localSheetId="16">'[1]Step 3. FA Balance'!$J$201</definedName>
    <definedName name="AltYield3" localSheetId="6">'[1]Step 3. FA Balance'!$J$201</definedName>
    <definedName name="AltYield3" localSheetId="11">'[1]Step 3. FA Balance'!$J$201</definedName>
    <definedName name="AltYield3" localSheetId="4">'[1]Step 3. FA Balance'!$J$201</definedName>
    <definedName name="AltYield3" localSheetId="9">'[1]Step 3. FA Balance'!$J$201</definedName>
    <definedName name="AltYield3" localSheetId="10">'[1]Step 3. FA Balance'!$J$201</definedName>
    <definedName name="AltYield3" localSheetId="7">'[1]Step 3. FA Balance'!$J$201</definedName>
    <definedName name="AltYield3" localSheetId="8">'[1]Step 3. FA Balance'!$J$201</definedName>
    <definedName name="AltYield3" localSheetId="1">'[1]Step 3. FA Balance'!$J$201</definedName>
    <definedName name="AltYield3" localSheetId="3">'[1]Step 3. FA Balance'!$J$201</definedName>
    <definedName name="AltYield3">'Step 3. FA Balance'!$J$201</definedName>
    <definedName name="AltYield4" localSheetId="16">'[1]Step 3. FA Balance'!$J$202</definedName>
    <definedName name="AltYield4" localSheetId="6">'[1]Step 3. FA Balance'!$J$202</definedName>
    <definedName name="AltYield4" localSheetId="11">'[1]Step 3. FA Balance'!$J$202</definedName>
    <definedName name="AltYield4" localSheetId="4">'[1]Step 3. FA Balance'!$J$202</definedName>
    <definedName name="AltYield4" localSheetId="9">'[1]Step 3. FA Balance'!$J$202</definedName>
    <definedName name="AltYield4" localSheetId="10">'[1]Step 3. FA Balance'!$J$202</definedName>
    <definedName name="AltYield4" localSheetId="7">'[1]Step 3. FA Balance'!$J$202</definedName>
    <definedName name="AltYield4" localSheetId="8">'[1]Step 3. FA Balance'!$J$202</definedName>
    <definedName name="AltYield4" localSheetId="1">'[1]Step 3. FA Balance'!$J$202</definedName>
    <definedName name="AltYield4" localSheetId="3">'[1]Step 3. FA Balance'!$J$202</definedName>
    <definedName name="AltYield4">'Step 3. FA Balance'!$J$202</definedName>
    <definedName name="AltYield5" localSheetId="16">'[1]Step 3. FA Balance'!$J$203</definedName>
    <definedName name="AltYield5" localSheetId="6">'[1]Step 3. FA Balance'!$J$203</definedName>
    <definedName name="AltYield5" localSheetId="11">'[1]Step 3. FA Balance'!$J$203</definedName>
    <definedName name="AltYield5" localSheetId="4">'[1]Step 3. FA Balance'!$J$203</definedName>
    <definedName name="AltYield5" localSheetId="9">'[1]Step 3. FA Balance'!$J$203</definedName>
    <definedName name="AltYield5" localSheetId="10">'[1]Step 3. FA Balance'!$J$203</definedName>
    <definedName name="AltYield5" localSheetId="7">'[1]Step 3. FA Balance'!$J$203</definedName>
    <definedName name="AltYield5" localSheetId="8">'[1]Step 3. FA Balance'!$J$203</definedName>
    <definedName name="AltYield5" localSheetId="1">'[1]Step 3. FA Balance'!$J$203</definedName>
    <definedName name="AltYield5" localSheetId="3">'[1]Step 3. FA Balance'!$J$203</definedName>
    <definedName name="AltYield5">'Step 3. FA Balance'!$J$203</definedName>
    <definedName name="AltYield6" localSheetId="16">'[1]Step 3. FA Balance'!$J$204</definedName>
    <definedName name="AltYield6" localSheetId="6">'[1]Step 3. FA Balance'!$J$204</definedName>
    <definedName name="AltYield6" localSheetId="11">'[1]Step 3. FA Balance'!$J$204</definedName>
    <definedName name="AltYield6" localSheetId="4">'[1]Step 3. FA Balance'!$J$204</definedName>
    <definedName name="AltYield6" localSheetId="9">'[1]Step 3. FA Balance'!$J$204</definedName>
    <definedName name="AltYield6" localSheetId="10">'[1]Step 3. FA Balance'!$J$204</definedName>
    <definedName name="AltYield6" localSheetId="7">'[1]Step 3. FA Balance'!$J$204</definedName>
    <definedName name="AltYield6" localSheetId="8">'[1]Step 3. FA Balance'!$J$204</definedName>
    <definedName name="AltYield6" localSheetId="1">'[1]Step 3. FA Balance'!$J$204</definedName>
    <definedName name="AltYield6" localSheetId="3">'[1]Step 3. FA Balance'!$J$204</definedName>
    <definedName name="AltYield6">'Step 3. FA Balance'!$J$204</definedName>
    <definedName name="AnnualDairy">'Step 3. FA Balance'!$29:$32</definedName>
    <definedName name="AnnualDairyCheck" localSheetId="16">[1]AnimalDemandCalculation!$L$45</definedName>
    <definedName name="AnnualDairyCheck" localSheetId="6">[1]AnimalDemandCalculation!$L$45</definedName>
    <definedName name="AnnualDairyCheck" localSheetId="11">[1]AnimalDemandCalculation!$L$45</definedName>
    <definedName name="AnnualDairyCheck" localSheetId="4">[1]AnimalDemandCalculation!$L$45</definedName>
    <definedName name="AnnualDairyCheck" localSheetId="9">[1]AnimalDemandCalculation!$L$45</definedName>
    <definedName name="AnnualDairyCheck" localSheetId="10">[1]AnimalDemandCalculation!$L$45</definedName>
    <definedName name="AnnualDairyCheck" localSheetId="7">[1]AnimalDemandCalculation!$L$45</definedName>
    <definedName name="AnnualDairyCheck" localSheetId="8">[1]AnimalDemandCalculation!$L$45</definedName>
    <definedName name="AnnualDairyCheck" localSheetId="1">[1]AnimalDemandCalculation!$L$45</definedName>
    <definedName name="AnnualDairyCheck" localSheetId="3">[1]AnimalDemandCalculation!$L$45</definedName>
    <definedName name="AnnualDairyCheck">Calculations!$L$45</definedName>
    <definedName name="Bulls">'Step 3. FA Balance'!$33:$34</definedName>
    <definedName name="BullsAltPast1" localSheetId="16">[1]AnimalDemandCalculation!$B$56</definedName>
    <definedName name="BullsAltPast1" localSheetId="6">[1]AnimalDemandCalculation!$B$56</definedName>
    <definedName name="BullsAltPast1" localSheetId="11">[1]AnimalDemandCalculation!$B$56</definedName>
    <definedName name="BullsAltPast1" localSheetId="4">[1]AnimalDemandCalculation!$B$56</definedName>
    <definedName name="BullsAltPast1" localSheetId="9">[1]AnimalDemandCalculation!$B$56</definedName>
    <definedName name="BullsAltPast1" localSheetId="10">[1]AnimalDemandCalculation!$B$56</definedName>
    <definedName name="BullsAltPast1" localSheetId="7">[1]AnimalDemandCalculation!$B$56</definedName>
    <definedName name="BullsAltPast1" localSheetId="8">[1]AnimalDemandCalculation!$B$56</definedName>
    <definedName name="BullsAltPast1" localSheetId="1">[1]AnimalDemandCalculation!$B$56</definedName>
    <definedName name="BullsAltPast1" localSheetId="3">[1]AnimalDemandCalculation!$B$56</definedName>
    <definedName name="BullsAltPast1">Calculations!$B$56</definedName>
    <definedName name="BullsAltPast2" localSheetId="16">[1]AnimalDemandCalculation!$B$58</definedName>
    <definedName name="BullsAltPast2" localSheetId="6">[1]AnimalDemandCalculation!$B$58</definedName>
    <definedName name="BullsAltPast2" localSheetId="11">[1]AnimalDemandCalculation!$B$58</definedName>
    <definedName name="BullsAltPast2" localSheetId="4">[1]AnimalDemandCalculation!$B$58</definedName>
    <definedName name="BullsAltPast2" localSheetId="9">[1]AnimalDemandCalculation!$B$58</definedName>
    <definedName name="BullsAltPast2" localSheetId="10">[1]AnimalDemandCalculation!$B$58</definedName>
    <definedName name="BullsAltPast2" localSheetId="7">[1]AnimalDemandCalculation!$B$58</definedName>
    <definedName name="BullsAltPast2" localSheetId="8">[1]AnimalDemandCalculation!$B$58</definedName>
    <definedName name="BullsAltPast2" localSheetId="1">[1]AnimalDemandCalculation!$B$58</definedName>
    <definedName name="BullsAltPast2" localSheetId="3">[1]AnimalDemandCalculation!$B$58</definedName>
    <definedName name="BullsAltPast2">Calculations!$B$58</definedName>
    <definedName name="BullsCheck" localSheetId="16">[1]AnimalDemandCalculation!$L$46</definedName>
    <definedName name="BullsCheck" localSheetId="6">[1]AnimalDemandCalculation!$L$46</definedName>
    <definedName name="BullsCheck" localSheetId="11">[1]AnimalDemandCalculation!$L$46</definedName>
    <definedName name="BullsCheck" localSheetId="4">[1]AnimalDemandCalculation!$L$46</definedName>
    <definedName name="BullsCheck" localSheetId="9">[1]AnimalDemandCalculation!$L$46</definedName>
    <definedName name="BullsCheck" localSheetId="10">[1]AnimalDemandCalculation!$L$46</definedName>
    <definedName name="BullsCheck" localSheetId="7">[1]AnimalDemandCalculation!$L$46</definedName>
    <definedName name="BullsCheck" localSheetId="8">[1]AnimalDemandCalculation!$L$46</definedName>
    <definedName name="BullsCheck" localSheetId="1">[1]AnimalDemandCalculation!$L$46</definedName>
    <definedName name="BullsCheck" localSheetId="3">[1]AnimalDemandCalculation!$L$46</definedName>
    <definedName name="BullsCheck">Calculations!$L$46</definedName>
    <definedName name="BullsDryLot1" localSheetId="16">[1]AnimalDemandCalculation!$B$57</definedName>
    <definedName name="BullsDryLot1" localSheetId="6">[1]AnimalDemandCalculation!$B$57</definedName>
    <definedName name="BullsDryLot1" localSheetId="11">[1]AnimalDemandCalculation!$B$57</definedName>
    <definedName name="BullsDryLot1" localSheetId="4">[1]AnimalDemandCalculation!$B$57</definedName>
    <definedName name="BullsDryLot1" localSheetId="9">[1]AnimalDemandCalculation!$B$57</definedName>
    <definedName name="BullsDryLot1" localSheetId="10">[1]AnimalDemandCalculation!$B$57</definedName>
    <definedName name="BullsDryLot1" localSheetId="7">[1]AnimalDemandCalculation!$B$57</definedName>
    <definedName name="BullsDryLot1" localSheetId="8">[1]AnimalDemandCalculation!$B$57</definedName>
    <definedName name="BullsDryLot1" localSheetId="1">[1]AnimalDemandCalculation!$B$57</definedName>
    <definedName name="BullsDryLot1" localSheetId="3">[1]AnimalDemandCalculation!$B$57</definedName>
    <definedName name="BullsDryLot1">Calculations!$B$57</definedName>
    <definedName name="BullsDryLot2" localSheetId="16">[1]AnimalDemandCalculation!$B$59</definedName>
    <definedName name="BullsDryLot2" localSheetId="6">[1]AnimalDemandCalculation!$B$59</definedName>
    <definedName name="BullsDryLot2" localSheetId="11">[1]AnimalDemandCalculation!$B$59</definedName>
    <definedName name="BullsDryLot2" localSheetId="4">[1]AnimalDemandCalculation!$B$59</definedName>
    <definedName name="BullsDryLot2" localSheetId="9">[1]AnimalDemandCalculation!$B$59</definedName>
    <definedName name="BullsDryLot2" localSheetId="10">[1]AnimalDemandCalculation!$B$59</definedName>
    <definedName name="BullsDryLot2" localSheetId="7">[1]AnimalDemandCalculation!$B$59</definedName>
    <definedName name="BullsDryLot2" localSheetId="8">[1]AnimalDemandCalculation!$B$59</definedName>
    <definedName name="BullsDryLot2" localSheetId="1">[1]AnimalDemandCalculation!$B$59</definedName>
    <definedName name="BullsDryLot2" localSheetId="3">[1]AnimalDemandCalculation!$B$59</definedName>
    <definedName name="BullsDryLot2">Calculations!$B$59</definedName>
    <definedName name="BullsInput">'Step 3. FA Balance'!$I$33:$K$33</definedName>
    <definedName name="BullsPast" localSheetId="16">[1]AnimalDemandCalculation!$B$55</definedName>
    <definedName name="BullsPast" localSheetId="6">[1]AnimalDemandCalculation!$B$55</definedName>
    <definedName name="BullsPast" localSheetId="11">[1]AnimalDemandCalculation!$B$55</definedName>
    <definedName name="BullsPast" localSheetId="4">[1]AnimalDemandCalculation!$B$55</definedName>
    <definedName name="BullsPast" localSheetId="9">[1]AnimalDemandCalculation!$B$55</definedName>
    <definedName name="BullsPast" localSheetId="10">[1]AnimalDemandCalculation!$B$55</definedName>
    <definedName name="BullsPast" localSheetId="7">[1]AnimalDemandCalculation!$B$55</definedName>
    <definedName name="BullsPast" localSheetId="8">[1]AnimalDemandCalculation!$B$55</definedName>
    <definedName name="BullsPast" localSheetId="1">[1]AnimalDemandCalculation!$B$55</definedName>
    <definedName name="BullsPast" localSheetId="3">[1]AnimalDemandCalculation!$B$55</definedName>
    <definedName name="BullsPast">Calculations!$B$55</definedName>
    <definedName name="BullsSummary">'Step 4. Review Summary'!$18:$18</definedName>
    <definedName name="CC1AltPast" localSheetId="16">[1]AnimalDemandCalculation!$B$72</definedName>
    <definedName name="CC1AltPast" localSheetId="6">[1]AnimalDemandCalculation!$B$72</definedName>
    <definedName name="CC1AltPast" localSheetId="11">[1]AnimalDemandCalculation!$B$72</definedName>
    <definedName name="CC1AltPast" localSheetId="4">[1]AnimalDemandCalculation!$B$72</definedName>
    <definedName name="CC1AltPast" localSheetId="9">[1]AnimalDemandCalculation!$B$72</definedName>
    <definedName name="CC1AltPast" localSheetId="10">[1]AnimalDemandCalculation!$B$72</definedName>
    <definedName name="CC1AltPast" localSheetId="7">[1]AnimalDemandCalculation!$B$72</definedName>
    <definedName name="CC1AltPast" localSheetId="8">[1]AnimalDemandCalculation!$B$72</definedName>
    <definedName name="CC1AltPast" localSheetId="1">[1]AnimalDemandCalculation!$B$72</definedName>
    <definedName name="CC1AltPast" localSheetId="3">[1]AnimalDemandCalculation!$B$72</definedName>
    <definedName name="CC1AltPast">Calculations!$B$72</definedName>
    <definedName name="CC1DryLot" localSheetId="16">[1]AnimalDemandCalculation!$B$73</definedName>
    <definedName name="CC1DryLot" localSheetId="6">[1]AnimalDemandCalculation!$B$73</definedName>
    <definedName name="CC1DryLot" localSheetId="11">[1]AnimalDemandCalculation!$B$73</definedName>
    <definedName name="CC1DryLot" localSheetId="4">[1]AnimalDemandCalculation!$B$73</definedName>
    <definedName name="CC1DryLot" localSheetId="9">[1]AnimalDemandCalculation!$B$73</definedName>
    <definedName name="CC1DryLot" localSheetId="10">[1]AnimalDemandCalculation!$B$73</definedName>
    <definedName name="CC1DryLot" localSheetId="7">[1]AnimalDemandCalculation!$B$73</definedName>
    <definedName name="CC1DryLot" localSheetId="8">[1]AnimalDemandCalculation!$B$73</definedName>
    <definedName name="CC1DryLot" localSheetId="1">[1]AnimalDemandCalculation!$B$73</definedName>
    <definedName name="CC1DryLot" localSheetId="3">[1]AnimalDemandCalculation!$B$73</definedName>
    <definedName name="CC1DryLot">Calculations!$B$73</definedName>
    <definedName name="CC1Past" localSheetId="16">[1]AnimalDemandCalculation!$B$71</definedName>
    <definedName name="CC1Past" localSheetId="6">[1]AnimalDemandCalculation!$B$71</definedName>
    <definedName name="CC1Past" localSheetId="11">[1]AnimalDemandCalculation!$B$71</definedName>
    <definedName name="CC1Past" localSheetId="4">[1]AnimalDemandCalculation!$B$71</definedName>
    <definedName name="CC1Past" localSheetId="9">[1]AnimalDemandCalculation!$B$71</definedName>
    <definedName name="CC1Past" localSheetId="10">[1]AnimalDemandCalculation!$B$71</definedName>
    <definedName name="CC1Past" localSheetId="7">[1]AnimalDemandCalculation!$B$71</definedName>
    <definedName name="CC1Past" localSheetId="8">[1]AnimalDemandCalculation!$B$71</definedName>
    <definedName name="CC1Past" localSheetId="1">[1]AnimalDemandCalculation!$B$71</definedName>
    <definedName name="CC1Past" localSheetId="3">[1]AnimalDemandCalculation!$B$71</definedName>
    <definedName name="CC1Past">Calculations!$B$71</definedName>
    <definedName name="CC2AltPast" localSheetId="16">[1]AnimalDemandCalculation!$B$77</definedName>
    <definedName name="CC2AltPast" localSheetId="6">[1]AnimalDemandCalculation!$B$77</definedName>
    <definedName name="CC2AltPast" localSheetId="11">[1]AnimalDemandCalculation!$B$77</definedName>
    <definedName name="CC2AltPast" localSheetId="4">[1]AnimalDemandCalculation!$B$77</definedName>
    <definedName name="CC2AltPast" localSheetId="9">[1]AnimalDemandCalculation!$B$77</definedName>
    <definedName name="CC2AltPast" localSheetId="10">[1]AnimalDemandCalculation!$B$77</definedName>
    <definedName name="CC2AltPast" localSheetId="7">[1]AnimalDemandCalculation!$B$77</definedName>
    <definedName name="CC2AltPast" localSheetId="8">[1]AnimalDemandCalculation!$B$77</definedName>
    <definedName name="CC2AltPast" localSheetId="1">[1]AnimalDemandCalculation!$B$77</definedName>
    <definedName name="CC2AltPast" localSheetId="3">[1]AnimalDemandCalculation!$B$77</definedName>
    <definedName name="CC2AltPast">Calculations!$B$77</definedName>
    <definedName name="CC2DryLot" localSheetId="16">[1]AnimalDemandCalculation!$B$78</definedName>
    <definedName name="CC2DryLot" localSheetId="6">[1]AnimalDemandCalculation!$B$78</definedName>
    <definedName name="CC2DryLot" localSheetId="11">[1]AnimalDemandCalculation!$B$78</definedName>
    <definedName name="CC2DryLot" localSheetId="4">[1]AnimalDemandCalculation!$B$78</definedName>
    <definedName name="CC2DryLot" localSheetId="9">[1]AnimalDemandCalculation!$B$78</definedName>
    <definedName name="CC2DryLot" localSheetId="10">[1]AnimalDemandCalculation!$B$78</definedName>
    <definedName name="CC2DryLot" localSheetId="7">[1]AnimalDemandCalculation!$B$78</definedName>
    <definedName name="CC2DryLot" localSheetId="8">[1]AnimalDemandCalculation!$B$78</definedName>
    <definedName name="CC2DryLot" localSheetId="1">[1]AnimalDemandCalculation!$B$78</definedName>
    <definedName name="CC2DryLot" localSheetId="3">[1]AnimalDemandCalculation!$B$78</definedName>
    <definedName name="CC2DryLot">Calculations!$B$78</definedName>
    <definedName name="CC2Past" localSheetId="16">[1]AnimalDemandCalculation!$B$76</definedName>
    <definedName name="CC2Past" localSheetId="6">[1]AnimalDemandCalculation!$B$76</definedName>
    <definedName name="CC2Past" localSheetId="11">[1]AnimalDemandCalculation!$B$76</definedName>
    <definedName name="CC2Past" localSheetId="4">[1]AnimalDemandCalculation!$B$76</definedName>
    <definedName name="CC2Past" localSheetId="9">[1]AnimalDemandCalculation!$B$76</definedName>
    <definedName name="CC2Past" localSheetId="10">[1]AnimalDemandCalculation!$B$76</definedName>
    <definedName name="CC2Past" localSheetId="7">[1]AnimalDemandCalculation!$B$76</definedName>
    <definedName name="CC2Past" localSheetId="8">[1]AnimalDemandCalculation!$B$76</definedName>
    <definedName name="CC2Past" localSheetId="1">[1]AnimalDemandCalculation!$B$76</definedName>
    <definedName name="CC2Past" localSheetId="3">[1]AnimalDemandCalculation!$B$76</definedName>
    <definedName name="CC2Past">Calculations!$B$76</definedName>
    <definedName name="CC3AltPast" localSheetId="16">[1]AnimalDemandCalculation!$B$82</definedName>
    <definedName name="CC3AltPast" localSheetId="6">[1]AnimalDemandCalculation!$B$82</definedName>
    <definedName name="CC3AltPast" localSheetId="11">[1]AnimalDemandCalculation!$B$82</definedName>
    <definedName name="CC3AltPast" localSheetId="4">[1]AnimalDemandCalculation!$B$82</definedName>
    <definedName name="CC3AltPast" localSheetId="9">[1]AnimalDemandCalculation!$B$82</definedName>
    <definedName name="CC3AltPast" localSheetId="10">[1]AnimalDemandCalculation!$B$82</definedName>
    <definedName name="CC3AltPast" localSheetId="7">[1]AnimalDemandCalculation!$B$82</definedName>
    <definedName name="CC3AltPast" localSheetId="8">[1]AnimalDemandCalculation!$B$82</definedName>
    <definedName name="CC3AltPast" localSheetId="1">[1]AnimalDemandCalculation!$B$82</definedName>
    <definedName name="CC3AltPast" localSheetId="3">[1]AnimalDemandCalculation!$B$82</definedName>
    <definedName name="CC3AltPast">Calculations!$B$82</definedName>
    <definedName name="CC3DryLot" localSheetId="16">[1]AnimalDemandCalculation!$B$83</definedName>
    <definedName name="CC3DryLot" localSheetId="6">[1]AnimalDemandCalculation!$B$83</definedName>
    <definedName name="CC3DryLot" localSheetId="11">[1]AnimalDemandCalculation!$B$83</definedName>
    <definedName name="CC3DryLot" localSheetId="4">[1]AnimalDemandCalculation!$B$83</definedName>
    <definedName name="CC3DryLot" localSheetId="9">[1]AnimalDemandCalculation!$B$83</definedName>
    <definedName name="CC3DryLot" localSheetId="10">[1]AnimalDemandCalculation!$B$83</definedName>
    <definedName name="CC3DryLot" localSheetId="7">[1]AnimalDemandCalculation!$B$83</definedName>
    <definedName name="CC3DryLot" localSheetId="8">[1]AnimalDemandCalculation!$B$83</definedName>
    <definedName name="CC3DryLot" localSheetId="1">[1]AnimalDemandCalculation!$B$83</definedName>
    <definedName name="CC3DryLot" localSheetId="3">[1]AnimalDemandCalculation!$B$83</definedName>
    <definedName name="CC3DryLot">Calculations!$B$83</definedName>
    <definedName name="CC3Past" localSheetId="16">[1]AnimalDemandCalculation!$B$81</definedName>
    <definedName name="CC3Past" localSheetId="6">[1]AnimalDemandCalculation!$B$81</definedName>
    <definedName name="CC3Past" localSheetId="11">[1]AnimalDemandCalculation!$B$81</definedName>
    <definedName name="CC3Past" localSheetId="4">[1]AnimalDemandCalculation!$B$81</definedName>
    <definedName name="CC3Past" localSheetId="9">[1]AnimalDemandCalculation!$B$81</definedName>
    <definedName name="CC3Past" localSheetId="10">[1]AnimalDemandCalculation!$B$81</definedName>
    <definedName name="CC3Past" localSheetId="7">[1]AnimalDemandCalculation!$B$81</definedName>
    <definedName name="CC3Past" localSheetId="8">[1]AnimalDemandCalculation!$B$81</definedName>
    <definedName name="CC3Past" localSheetId="1">[1]AnimalDemandCalculation!$B$81</definedName>
    <definedName name="CC3Past" localSheetId="3">[1]AnimalDemandCalculation!$B$81</definedName>
    <definedName name="CC3Past">Calculations!$B$81</definedName>
    <definedName name="Contents">Instructions!$C$16</definedName>
    <definedName name="County" localSheetId="16">'[1]Step 3. FA Balance'!$H$9</definedName>
    <definedName name="County" localSheetId="6">'[1]Step 3. FA Balance'!$H$9</definedName>
    <definedName name="County" localSheetId="11">'[1]Step 3. FA Balance'!$H$9</definedName>
    <definedName name="County" localSheetId="4">'[1]Step 3. FA Balance'!$H$9</definedName>
    <definedName name="County" localSheetId="9">'[1]Step 3. FA Balance'!$H$9</definedName>
    <definedName name="County" localSheetId="10">'[1]Step 3. FA Balance'!$H$9</definedName>
    <definedName name="County" localSheetId="7">'[1]Step 3. FA Balance'!$H$9</definedName>
    <definedName name="County" localSheetId="8">'[1]Step 3. FA Balance'!$H$9</definedName>
    <definedName name="County" localSheetId="1">'[1]Step 3. FA Balance'!$H$9</definedName>
    <definedName name="County" localSheetId="3">'[1]Step 3. FA Balance'!$H$9</definedName>
    <definedName name="County">'Step 3. FA Balance'!$H$9</definedName>
    <definedName name="CowCalf1">'Step 3. FA Balance'!$15:$16</definedName>
    <definedName name="CowCalf1Check" localSheetId="16">[1]AnimalDemandCalculation!$L$47</definedName>
    <definedName name="CowCalf1Check" localSheetId="6">[1]AnimalDemandCalculation!$L$47</definedName>
    <definedName name="CowCalf1Check" localSheetId="11">[1]AnimalDemandCalculation!$L$47</definedName>
    <definedName name="CowCalf1Check" localSheetId="4">[1]AnimalDemandCalculation!$L$47</definedName>
    <definedName name="CowCalf1Check" localSheetId="9">[1]AnimalDemandCalculation!$L$47</definedName>
    <definedName name="CowCalf1Check" localSheetId="10">[1]AnimalDemandCalculation!$L$47</definedName>
    <definedName name="CowCalf1Check" localSheetId="7">[1]AnimalDemandCalculation!$L$47</definedName>
    <definedName name="CowCalf1Check" localSheetId="8">[1]AnimalDemandCalculation!$L$47</definedName>
    <definedName name="CowCalf1Check" localSheetId="1">[1]AnimalDemandCalculation!$L$47</definedName>
    <definedName name="CowCalf1Check" localSheetId="3">[1]AnimalDemandCalculation!$L$47</definedName>
    <definedName name="CowCalf1Check">Calculations!$L$47</definedName>
    <definedName name="CowCalf1Input">'Step 3. FA Balance'!$I$15:$K$15</definedName>
    <definedName name="CowCalf2">'Step 3. FA Balance'!$17:$18</definedName>
    <definedName name="CowCalf2Check" localSheetId="16">[1]AnimalDemandCalculation!$L$48</definedName>
    <definedName name="CowCalf2Check" localSheetId="6">[1]AnimalDemandCalculation!$L$48</definedName>
    <definedName name="CowCalf2Check" localSheetId="11">[1]AnimalDemandCalculation!$L$48</definedName>
    <definedName name="CowCalf2Check" localSheetId="4">[1]AnimalDemandCalculation!$L$48</definedName>
    <definedName name="CowCalf2Check" localSheetId="9">[1]AnimalDemandCalculation!$L$48</definedName>
    <definedName name="CowCalf2Check" localSheetId="10">[1]AnimalDemandCalculation!$L$48</definedName>
    <definedName name="CowCalf2Check" localSheetId="7">[1]AnimalDemandCalculation!$L$48</definedName>
    <definedName name="CowCalf2Check" localSheetId="8">[1]AnimalDemandCalculation!$L$48</definedName>
    <definedName name="CowCalf2Check" localSheetId="1">[1]AnimalDemandCalculation!$L$48</definedName>
    <definedName name="CowCalf2Check" localSheetId="3">[1]AnimalDemandCalculation!$L$48</definedName>
    <definedName name="CowCalf2Check">Calculations!$L$48</definedName>
    <definedName name="CowCalf2Input">'Step 3. FA Balance'!$I$17:$K$17</definedName>
    <definedName name="CowCalf3">'Step 3. FA Balance'!$19:$20</definedName>
    <definedName name="CowCalf3Check" localSheetId="16">[1]AnimalDemandCalculation!$L$49</definedName>
    <definedName name="CowCalf3Check" localSheetId="6">[1]AnimalDemandCalculation!$L$49</definedName>
    <definedName name="CowCalf3Check" localSheetId="11">[1]AnimalDemandCalculation!$L$49</definedName>
    <definedName name="CowCalf3Check" localSheetId="4">[1]AnimalDemandCalculation!$L$49</definedName>
    <definedName name="CowCalf3Check" localSheetId="9">[1]AnimalDemandCalculation!$L$49</definedName>
    <definedName name="CowCalf3Check" localSheetId="10">[1]AnimalDemandCalculation!$L$49</definedName>
    <definedName name="CowCalf3Check" localSheetId="7">[1]AnimalDemandCalculation!$L$49</definedName>
    <definedName name="CowCalf3Check" localSheetId="8">[1]AnimalDemandCalculation!$L$49</definedName>
    <definedName name="CowCalf3Check" localSheetId="1">[1]AnimalDemandCalculation!$L$49</definedName>
    <definedName name="CowCalf3Check" localSheetId="3">[1]AnimalDemandCalculation!$L$49</definedName>
    <definedName name="CowCalf3Check">Calculations!$L$49</definedName>
    <definedName name="CowCalf3Input">'Step 3. FA Balance'!$I$19:$K$19</definedName>
    <definedName name="CowCalfSum1">'Step 4. Review Summary'!$11:$11</definedName>
    <definedName name="CowCalfSum2">'Step 4. Review Summary'!$12:$12</definedName>
    <definedName name="CowCalfSum3">'Step 4. Review Summary'!$13:$13</definedName>
    <definedName name="Dairy1">'Step 3. FA Balance'!$25:$28</definedName>
    <definedName name="Dairy1Input" localSheetId="16">'[1]Step 3. FA Balance'!$I$25:$J$25,'[1]Step 3. FA Balance'!$K$26:$K$27</definedName>
    <definedName name="Dairy1Input" localSheetId="6">'[1]Step 3. FA Balance'!$I$25:$J$25,'[1]Step 3. FA Balance'!$K$26:$K$27</definedName>
    <definedName name="Dairy1Input" localSheetId="11">'[1]Step 3. FA Balance'!$I$25:$J$25,'[1]Step 3. FA Balance'!$K$26:$K$27</definedName>
    <definedName name="Dairy1Input" localSheetId="4">'[1]Step 3. FA Balance'!$I$25:$J$25,'[1]Step 3. FA Balance'!$K$26:$K$27</definedName>
    <definedName name="Dairy1Input" localSheetId="9">'[1]Step 3. FA Balance'!$I$25:$J$25,'[1]Step 3. FA Balance'!$K$26:$K$27</definedName>
    <definedName name="Dairy1Input" localSheetId="10">'[1]Step 3. FA Balance'!$I$25:$J$25,'[1]Step 3. FA Balance'!$K$26:$K$27</definedName>
    <definedName name="Dairy1Input" localSheetId="7">'[1]Step 3. FA Balance'!$I$25:$J$25,'[1]Step 3. FA Balance'!$K$26:$K$27</definedName>
    <definedName name="Dairy1Input" localSheetId="8">'[1]Step 3. FA Balance'!$I$25:$J$25,'[1]Step 3. FA Balance'!$K$26:$K$27</definedName>
    <definedName name="Dairy1Input" localSheetId="1">'[1]Step 3. FA Balance'!$I$25:$J$25,'[1]Step 3. FA Balance'!$K$26:$K$27</definedName>
    <definedName name="Dairy1Input" localSheetId="3">'[1]Step 3. FA Balance'!$I$25:$J$25,'[1]Step 3. FA Balance'!$K$26:$K$27</definedName>
    <definedName name="Dairy1Input">'Step 3. FA Balance'!$I$25:$J$25,'Step 3. FA Balance'!$K$26:$K$27</definedName>
    <definedName name="Dairy2">'Step 3. FA Balance'!$31:$32</definedName>
    <definedName name="DairyAlt">'Step 3. FA Balance'!$91:$94</definedName>
    <definedName name="DairySummary1">'Step 4. Review Summary'!$16:$16</definedName>
    <definedName name="DairySummary2">'Step 4. Review Summary'!$17:$17</definedName>
    <definedName name="Date" localSheetId="16">'[1]Step 3. FA Balance'!$H$8</definedName>
    <definedName name="Date" localSheetId="6">'[1]Step 3. FA Balance'!$H$8</definedName>
    <definedName name="Date" localSheetId="11">'[1]Step 3. FA Balance'!$H$8</definedName>
    <definedName name="Date" localSheetId="4">'[1]Step 3. FA Balance'!$H$8</definedName>
    <definedName name="Date" localSheetId="9">'[1]Step 3. FA Balance'!$H$8</definedName>
    <definedName name="Date" localSheetId="10">'[1]Step 3. FA Balance'!$H$8</definedName>
    <definedName name="Date" localSheetId="7">'[1]Step 3. FA Balance'!$H$8</definedName>
    <definedName name="Date" localSheetId="8">'[1]Step 3. FA Balance'!$H$8</definedName>
    <definedName name="Date" localSheetId="1">'[1]Step 3. FA Balance'!$H$8</definedName>
    <definedName name="Date" localSheetId="3">'[1]Step 3. FA Balance'!$H$8</definedName>
    <definedName name="Date">'Step 3. FA Balance'!$H$8</definedName>
    <definedName name="DemandAlt">'Step 3. FA Balance'!$91:$94</definedName>
    <definedName name="DetailedSum">Instructions!$C$164</definedName>
    <definedName name="DryDairyDryLot" localSheetId="16">[1]AnimalDemandCalculation!$H$50</definedName>
    <definedName name="DryDairyDryLot" localSheetId="6">[1]AnimalDemandCalculation!$H$50</definedName>
    <definedName name="DryDairyDryLot" localSheetId="11">[1]AnimalDemandCalculation!$H$50</definedName>
    <definedName name="DryDairyDryLot" localSheetId="4">[1]AnimalDemandCalculation!$H$50</definedName>
    <definedName name="DryDairyDryLot" localSheetId="9">[1]AnimalDemandCalculation!$H$50</definedName>
    <definedName name="DryDairyDryLot" localSheetId="10">[1]AnimalDemandCalculation!$H$50</definedName>
    <definedName name="DryDairyDryLot" localSheetId="7">[1]AnimalDemandCalculation!$H$50</definedName>
    <definedName name="DryDairyDryLot" localSheetId="8">[1]AnimalDemandCalculation!$H$50</definedName>
    <definedName name="DryDairyDryLot" localSheetId="1">[1]AnimalDemandCalculation!$H$50</definedName>
    <definedName name="DryDairyDryLot" localSheetId="3">[1]AnimalDemandCalculation!$H$50</definedName>
    <definedName name="DryDairyDryLot">Calculations!$H$50</definedName>
    <definedName name="DryDairyInput">'Step 3. FA Balance'!$I$31:$K$31</definedName>
    <definedName name="DryDairyPast" localSheetId="16">[1]AnimalDemandCalculation!$G$50</definedName>
    <definedName name="DryDairyPast" localSheetId="6">[1]AnimalDemandCalculation!$G$50</definedName>
    <definedName name="DryDairyPast" localSheetId="11">[1]AnimalDemandCalculation!$G$50</definedName>
    <definedName name="DryDairyPast" localSheetId="4">[1]AnimalDemandCalculation!$G$50</definedName>
    <definedName name="DryDairyPast" localSheetId="9">[1]AnimalDemandCalculation!$G$50</definedName>
    <definedName name="DryDairyPast" localSheetId="10">[1]AnimalDemandCalculation!$G$50</definedName>
    <definedName name="DryDairyPast" localSheetId="7">[1]AnimalDemandCalculation!$G$50</definedName>
    <definedName name="DryDairyPast" localSheetId="8">[1]AnimalDemandCalculation!$G$50</definedName>
    <definedName name="DryDairyPast" localSheetId="1">[1]AnimalDemandCalculation!$G$50</definedName>
    <definedName name="DryDairyPast" localSheetId="3">[1]AnimalDemandCalculation!$G$50</definedName>
    <definedName name="DryDairyPast">Calculations!$G$50</definedName>
    <definedName name="DryLot">'Step 3. FA Balance'!$93:$93</definedName>
    <definedName name="DryLotSum">'Step 3. FA Balance'!$239:$241</definedName>
    <definedName name="Efficiency1" localSheetId="16">'[1]Step 3. FA Balance'!$L$103</definedName>
    <definedName name="Efficiency1" localSheetId="6">'[1]Step 3. FA Balance'!$L$103</definedName>
    <definedName name="Efficiency1" localSheetId="11">'[1]Step 3. FA Balance'!$L$103</definedName>
    <definedName name="Efficiency1" localSheetId="4">'[1]Step 3. FA Balance'!$L$103</definedName>
    <definedName name="Efficiency1" localSheetId="9">'[1]Step 3. FA Balance'!$L$103</definedName>
    <definedName name="Efficiency1" localSheetId="10">'[1]Step 3. FA Balance'!$L$103</definedName>
    <definedName name="Efficiency1" localSheetId="7">'[1]Step 3. FA Balance'!$L$103</definedName>
    <definedName name="Efficiency1" localSheetId="8">'[1]Step 3. FA Balance'!$L$103</definedName>
    <definedName name="Efficiency1" localSheetId="1">'[1]Step 3. FA Balance'!$L$103</definedName>
    <definedName name="Efficiency1" localSheetId="3">'[1]Step 3. FA Balance'!$L$103</definedName>
    <definedName name="Efficiency1">'Step 3. FA Balance'!$L$103</definedName>
    <definedName name="Efficiency10" localSheetId="16">'[1]Step 3. FA Balance'!$L$121</definedName>
    <definedName name="Efficiency10" localSheetId="6">'[1]Step 3. FA Balance'!$L$121</definedName>
    <definedName name="Efficiency10" localSheetId="11">'[1]Step 3. FA Balance'!$L$121</definedName>
    <definedName name="Efficiency10" localSheetId="4">'[1]Step 3. FA Balance'!$L$121</definedName>
    <definedName name="Efficiency10" localSheetId="9">'[1]Step 3. FA Balance'!$L$121</definedName>
    <definedName name="Efficiency10" localSheetId="10">'[1]Step 3. FA Balance'!$L$121</definedName>
    <definedName name="Efficiency10" localSheetId="7">'[1]Step 3. FA Balance'!$L$121</definedName>
    <definedName name="Efficiency10" localSheetId="8">'[1]Step 3. FA Balance'!$L$121</definedName>
    <definedName name="Efficiency10" localSheetId="1">'[1]Step 3. FA Balance'!$L$121</definedName>
    <definedName name="Efficiency10" localSheetId="3">'[1]Step 3. FA Balance'!$L$121</definedName>
    <definedName name="Efficiency10">'Step 3. FA Balance'!$L$121</definedName>
    <definedName name="Efficiency11" localSheetId="16">'[1]Step 3. FA Balance'!$L$123</definedName>
    <definedName name="Efficiency11" localSheetId="6">'[1]Step 3. FA Balance'!$L$123</definedName>
    <definedName name="Efficiency11" localSheetId="11">'[1]Step 3. FA Balance'!$L$123</definedName>
    <definedName name="Efficiency11" localSheetId="4">'[1]Step 3. FA Balance'!$L$123</definedName>
    <definedName name="Efficiency11" localSheetId="9">'[1]Step 3. FA Balance'!$L$123</definedName>
    <definedName name="Efficiency11" localSheetId="10">'[1]Step 3. FA Balance'!$L$123</definedName>
    <definedName name="Efficiency11" localSheetId="7">'[1]Step 3. FA Balance'!$L$123</definedName>
    <definedName name="Efficiency11" localSheetId="8">'[1]Step 3. FA Balance'!$L$123</definedName>
    <definedName name="Efficiency11" localSheetId="1">'[1]Step 3. FA Balance'!$L$123</definedName>
    <definedName name="Efficiency11" localSheetId="3">'[1]Step 3. FA Balance'!$L$123</definedName>
    <definedName name="Efficiency11">'Step 3. FA Balance'!$L$123</definedName>
    <definedName name="Efficiency12" localSheetId="16">'[1]Step 3. FA Balance'!$L$125</definedName>
    <definedName name="Efficiency12" localSheetId="6">'[1]Step 3. FA Balance'!$L$125</definedName>
    <definedName name="Efficiency12" localSheetId="11">'[1]Step 3. FA Balance'!$L$125</definedName>
    <definedName name="Efficiency12" localSheetId="4">'[1]Step 3. FA Balance'!$L$125</definedName>
    <definedName name="Efficiency12" localSheetId="9">'[1]Step 3. FA Balance'!$L$125</definedName>
    <definedName name="Efficiency12" localSheetId="10">'[1]Step 3. FA Balance'!$L$125</definedName>
    <definedName name="Efficiency12" localSheetId="7">'[1]Step 3. FA Balance'!$L$125</definedName>
    <definedName name="Efficiency12" localSheetId="8">'[1]Step 3. FA Balance'!$L$125</definedName>
    <definedName name="Efficiency12" localSheetId="1">'[1]Step 3. FA Balance'!$L$125</definedName>
    <definedName name="Efficiency12" localSheetId="3">'[1]Step 3. FA Balance'!$L$125</definedName>
    <definedName name="Efficiency12">'Step 3. FA Balance'!$L$125</definedName>
    <definedName name="Efficiency13" localSheetId="16">'[1]Step 3. FA Balance'!$L$127</definedName>
    <definedName name="Efficiency13" localSheetId="6">'[1]Step 3. FA Balance'!$L$127</definedName>
    <definedName name="Efficiency13" localSheetId="11">'[1]Step 3. FA Balance'!$L$127</definedName>
    <definedName name="Efficiency13" localSheetId="4">'[1]Step 3. FA Balance'!$L$127</definedName>
    <definedName name="Efficiency13" localSheetId="9">'[1]Step 3. FA Balance'!$L$127</definedName>
    <definedName name="Efficiency13" localSheetId="10">'[1]Step 3. FA Balance'!$L$127</definedName>
    <definedName name="Efficiency13" localSheetId="7">'[1]Step 3. FA Balance'!$L$127</definedName>
    <definedName name="Efficiency13" localSheetId="8">'[1]Step 3. FA Balance'!$L$127</definedName>
    <definedName name="Efficiency13" localSheetId="1">'[1]Step 3. FA Balance'!$L$127</definedName>
    <definedName name="Efficiency13" localSheetId="3">'[1]Step 3. FA Balance'!$L$127</definedName>
    <definedName name="Efficiency13">'Step 3. FA Balance'!$L$127</definedName>
    <definedName name="Efficiency14" localSheetId="16">'[1]Step 3. FA Balance'!$L$129</definedName>
    <definedName name="Efficiency14" localSheetId="6">'[1]Step 3. FA Balance'!$L$129</definedName>
    <definedName name="Efficiency14" localSheetId="11">'[1]Step 3. FA Balance'!$L$129</definedName>
    <definedName name="Efficiency14" localSheetId="4">'[1]Step 3. FA Balance'!$L$129</definedName>
    <definedName name="Efficiency14" localSheetId="9">'[1]Step 3. FA Balance'!$L$129</definedName>
    <definedName name="Efficiency14" localSheetId="10">'[1]Step 3. FA Balance'!$L$129</definedName>
    <definedName name="Efficiency14" localSheetId="7">'[1]Step 3. FA Balance'!$L$129</definedName>
    <definedName name="Efficiency14" localSheetId="8">'[1]Step 3. FA Balance'!$L$129</definedName>
    <definedName name="Efficiency14" localSheetId="1">'[1]Step 3. FA Balance'!$L$129</definedName>
    <definedName name="Efficiency14" localSheetId="3">'[1]Step 3. FA Balance'!$L$129</definedName>
    <definedName name="Efficiency14">'Step 3. FA Balance'!$L$129</definedName>
    <definedName name="Efficiency15" localSheetId="16">'[1]Step 3. FA Balance'!$L$131</definedName>
    <definedName name="Efficiency15" localSheetId="6">'[1]Step 3. FA Balance'!$L$131</definedName>
    <definedName name="Efficiency15" localSheetId="11">'[1]Step 3. FA Balance'!$L$131</definedName>
    <definedName name="Efficiency15" localSheetId="4">'[1]Step 3. FA Balance'!$L$131</definedName>
    <definedName name="Efficiency15" localSheetId="9">'[1]Step 3. FA Balance'!$L$131</definedName>
    <definedName name="Efficiency15" localSheetId="10">'[1]Step 3. FA Balance'!$L$131</definedName>
    <definedName name="Efficiency15" localSheetId="7">'[1]Step 3. FA Balance'!$L$131</definedName>
    <definedName name="Efficiency15" localSheetId="8">'[1]Step 3. FA Balance'!$L$131</definedName>
    <definedName name="Efficiency15" localSheetId="1">'[1]Step 3. FA Balance'!$L$131</definedName>
    <definedName name="Efficiency15" localSheetId="3">'[1]Step 3. FA Balance'!$L$131</definedName>
    <definedName name="Efficiency15">'Step 3. FA Balance'!$L$131</definedName>
    <definedName name="Efficiency16" localSheetId="16">'[1]Step 3. FA Balance'!$L$133</definedName>
    <definedName name="Efficiency16" localSheetId="6">'[1]Step 3. FA Balance'!$L$133</definedName>
    <definedName name="Efficiency16" localSheetId="11">'[1]Step 3. FA Balance'!$L$133</definedName>
    <definedName name="Efficiency16" localSheetId="4">'[1]Step 3. FA Balance'!$L$133</definedName>
    <definedName name="Efficiency16" localSheetId="9">'[1]Step 3. FA Balance'!$L$133</definedName>
    <definedName name="Efficiency16" localSheetId="10">'[1]Step 3. FA Balance'!$L$133</definedName>
    <definedName name="Efficiency16" localSheetId="7">'[1]Step 3. FA Balance'!$L$133</definedName>
    <definedName name="Efficiency16" localSheetId="8">'[1]Step 3. FA Balance'!$L$133</definedName>
    <definedName name="Efficiency16" localSheetId="1">'[1]Step 3. FA Balance'!$L$133</definedName>
    <definedName name="Efficiency16" localSheetId="3">'[1]Step 3. FA Balance'!$L$133</definedName>
    <definedName name="Efficiency16">'Step 3. FA Balance'!$L$133</definedName>
    <definedName name="Efficiency17" localSheetId="16">'[1]Step 3. FA Balance'!$L$135</definedName>
    <definedName name="Efficiency17" localSheetId="6">'[1]Step 3. FA Balance'!$L$135</definedName>
    <definedName name="Efficiency17" localSheetId="11">'[1]Step 3. FA Balance'!$L$135</definedName>
    <definedName name="Efficiency17" localSheetId="4">'[1]Step 3. FA Balance'!$L$135</definedName>
    <definedName name="Efficiency17" localSheetId="9">'[1]Step 3. FA Balance'!$L$135</definedName>
    <definedName name="Efficiency17" localSheetId="10">'[1]Step 3. FA Balance'!$L$135</definedName>
    <definedName name="Efficiency17" localSheetId="7">'[1]Step 3. FA Balance'!$L$135</definedName>
    <definedName name="Efficiency17" localSheetId="8">'[1]Step 3. FA Balance'!$L$135</definedName>
    <definedName name="Efficiency17" localSheetId="1">'[1]Step 3. FA Balance'!$L$135</definedName>
    <definedName name="Efficiency17" localSheetId="3">'[1]Step 3. FA Balance'!$L$135</definedName>
    <definedName name="Efficiency17">'Step 3. FA Balance'!$L$135</definedName>
    <definedName name="Efficiency18" localSheetId="16">'[1]Step 3. FA Balance'!$L$137</definedName>
    <definedName name="Efficiency18" localSheetId="6">'[1]Step 3. FA Balance'!$L$137</definedName>
    <definedName name="Efficiency18" localSheetId="11">'[1]Step 3. FA Balance'!$L$137</definedName>
    <definedName name="Efficiency18" localSheetId="4">'[1]Step 3. FA Balance'!$L$137</definedName>
    <definedName name="Efficiency18" localSheetId="9">'[1]Step 3. FA Balance'!$L$137</definedName>
    <definedName name="Efficiency18" localSheetId="10">'[1]Step 3. FA Balance'!$L$137</definedName>
    <definedName name="Efficiency18" localSheetId="7">'[1]Step 3. FA Balance'!$L$137</definedName>
    <definedName name="Efficiency18" localSheetId="8">'[1]Step 3. FA Balance'!$L$137</definedName>
    <definedName name="Efficiency18" localSheetId="1">'[1]Step 3. FA Balance'!$L$137</definedName>
    <definedName name="Efficiency18" localSheetId="3">'[1]Step 3. FA Balance'!$L$137</definedName>
    <definedName name="Efficiency18">'Step 3. FA Balance'!$L$137</definedName>
    <definedName name="Efficiency19" localSheetId="16">'[1]Step 3. FA Balance'!$L$139</definedName>
    <definedName name="Efficiency19" localSheetId="6">'[1]Step 3. FA Balance'!$L$139</definedName>
    <definedName name="Efficiency19" localSheetId="11">'[1]Step 3. FA Balance'!$L$139</definedName>
    <definedName name="Efficiency19" localSheetId="4">'[1]Step 3. FA Balance'!$L$139</definedName>
    <definedName name="Efficiency19" localSheetId="9">'[1]Step 3. FA Balance'!$L$139</definedName>
    <definedName name="Efficiency19" localSheetId="10">'[1]Step 3. FA Balance'!$L$139</definedName>
    <definedName name="Efficiency19" localSheetId="7">'[1]Step 3. FA Balance'!$L$139</definedName>
    <definedName name="Efficiency19" localSheetId="8">'[1]Step 3. FA Balance'!$L$139</definedName>
    <definedName name="Efficiency19" localSheetId="1">'[1]Step 3. FA Balance'!$L$139</definedName>
    <definedName name="Efficiency19" localSheetId="3">'[1]Step 3. FA Balance'!$L$139</definedName>
    <definedName name="Efficiency19">'Step 3. FA Balance'!$L$139</definedName>
    <definedName name="Efficiency2" localSheetId="16">'[1]Step 3. FA Balance'!$L$105</definedName>
    <definedName name="Efficiency2" localSheetId="6">'[1]Step 3. FA Balance'!$L$105</definedName>
    <definedName name="Efficiency2" localSheetId="11">'[1]Step 3. FA Balance'!$L$105</definedName>
    <definedName name="Efficiency2" localSheetId="4">'[1]Step 3. FA Balance'!$L$105</definedName>
    <definedName name="Efficiency2" localSheetId="9">'[1]Step 3. FA Balance'!$L$105</definedName>
    <definedName name="Efficiency2" localSheetId="10">'[1]Step 3. FA Balance'!$L$105</definedName>
    <definedName name="Efficiency2" localSheetId="7">'[1]Step 3. FA Balance'!$L$105</definedName>
    <definedName name="Efficiency2" localSheetId="8">'[1]Step 3. FA Balance'!$L$105</definedName>
    <definedName name="Efficiency2" localSheetId="1">'[1]Step 3. FA Balance'!$L$105</definedName>
    <definedName name="Efficiency2" localSheetId="3">'[1]Step 3. FA Balance'!$L$105</definedName>
    <definedName name="Efficiency2">'Step 3. FA Balance'!$L$105</definedName>
    <definedName name="Efficiency20" localSheetId="16">'[1]Step 3. FA Balance'!$L$141</definedName>
    <definedName name="Efficiency20" localSheetId="6">'[1]Step 3. FA Balance'!$L$141</definedName>
    <definedName name="Efficiency20" localSheetId="11">'[1]Step 3. FA Balance'!$L$141</definedName>
    <definedName name="Efficiency20" localSheetId="4">'[1]Step 3. FA Balance'!$L$141</definedName>
    <definedName name="Efficiency20" localSheetId="9">'[1]Step 3. FA Balance'!$L$141</definedName>
    <definedName name="Efficiency20" localSheetId="10">'[1]Step 3. FA Balance'!$L$141</definedName>
    <definedName name="Efficiency20" localSheetId="7">'[1]Step 3. FA Balance'!$L$141</definedName>
    <definedName name="Efficiency20" localSheetId="8">'[1]Step 3. FA Balance'!$L$141</definedName>
    <definedName name="Efficiency20" localSheetId="1">'[1]Step 3. FA Balance'!$L$141</definedName>
    <definedName name="Efficiency20" localSheetId="3">'[1]Step 3. FA Balance'!$L$141</definedName>
    <definedName name="Efficiency20">'Step 3. FA Balance'!$L$141</definedName>
    <definedName name="Efficiency21" localSheetId="16">'[1]Step 3. FA Balance'!$L$143</definedName>
    <definedName name="Efficiency21" localSheetId="6">'[1]Step 3. FA Balance'!$L$143</definedName>
    <definedName name="Efficiency21" localSheetId="11">'[1]Step 3. FA Balance'!$L$143</definedName>
    <definedName name="Efficiency21" localSheetId="4">'[1]Step 3. FA Balance'!$L$143</definedName>
    <definedName name="Efficiency21" localSheetId="9">'[1]Step 3. FA Balance'!$L$143</definedName>
    <definedName name="Efficiency21" localSheetId="10">'[1]Step 3. FA Balance'!$L$143</definedName>
    <definedName name="Efficiency21" localSheetId="7">'[1]Step 3. FA Balance'!$L$143</definedName>
    <definedName name="Efficiency21" localSheetId="8">'[1]Step 3. FA Balance'!$L$143</definedName>
    <definedName name="Efficiency21" localSheetId="1">'[1]Step 3. FA Balance'!$L$143</definedName>
    <definedName name="Efficiency21" localSheetId="3">'[1]Step 3. FA Balance'!$L$143</definedName>
    <definedName name="Efficiency21">'Step 3. FA Balance'!$L$143</definedName>
    <definedName name="Efficiency22" localSheetId="16">'[1]Step 3. FA Balance'!$L$145</definedName>
    <definedName name="Efficiency22" localSheetId="6">'[1]Step 3. FA Balance'!$L$145</definedName>
    <definedName name="Efficiency22" localSheetId="11">'[1]Step 3. FA Balance'!$L$145</definedName>
    <definedName name="Efficiency22" localSheetId="4">'[1]Step 3. FA Balance'!$L$145</definedName>
    <definedName name="Efficiency22" localSheetId="9">'[1]Step 3. FA Balance'!$L$145</definedName>
    <definedName name="Efficiency22" localSheetId="10">'[1]Step 3. FA Balance'!$L$145</definedName>
    <definedName name="Efficiency22" localSheetId="7">'[1]Step 3. FA Balance'!$L$145</definedName>
    <definedName name="Efficiency22" localSheetId="8">'[1]Step 3. FA Balance'!$L$145</definedName>
    <definedName name="Efficiency22" localSheetId="1">'[1]Step 3. FA Balance'!$L$145</definedName>
    <definedName name="Efficiency22" localSheetId="3">'[1]Step 3. FA Balance'!$L$145</definedName>
    <definedName name="Efficiency22">'Step 3. FA Balance'!$L$145</definedName>
    <definedName name="Efficiency23" localSheetId="16">'[1]Step 3. FA Balance'!$L$147</definedName>
    <definedName name="Efficiency23" localSheetId="6">'[1]Step 3. FA Balance'!$L$147</definedName>
    <definedName name="Efficiency23" localSheetId="11">'[1]Step 3. FA Balance'!$L$147</definedName>
    <definedName name="Efficiency23" localSheetId="4">'[1]Step 3. FA Balance'!$L$147</definedName>
    <definedName name="Efficiency23" localSheetId="9">'[1]Step 3. FA Balance'!$L$147</definedName>
    <definedName name="Efficiency23" localSheetId="10">'[1]Step 3. FA Balance'!$L$147</definedName>
    <definedName name="Efficiency23" localSheetId="7">'[1]Step 3. FA Balance'!$L$147</definedName>
    <definedName name="Efficiency23" localSheetId="8">'[1]Step 3. FA Balance'!$L$147</definedName>
    <definedName name="Efficiency23" localSheetId="1">'[1]Step 3. FA Balance'!$L$147</definedName>
    <definedName name="Efficiency23" localSheetId="3">'[1]Step 3. FA Balance'!$L$147</definedName>
    <definedName name="Efficiency23">'Step 3. FA Balance'!$L$147</definedName>
    <definedName name="Efficiency24" localSheetId="16">'[1]Step 3. FA Balance'!$L$149</definedName>
    <definedName name="Efficiency24" localSheetId="6">'[1]Step 3. FA Balance'!$L$149</definedName>
    <definedName name="Efficiency24" localSheetId="11">'[1]Step 3. FA Balance'!$L$149</definedName>
    <definedName name="Efficiency24" localSheetId="4">'[1]Step 3. FA Balance'!$L$149</definedName>
    <definedName name="Efficiency24" localSheetId="9">'[1]Step 3. FA Balance'!$L$149</definedName>
    <definedName name="Efficiency24" localSheetId="10">'[1]Step 3. FA Balance'!$L$149</definedName>
    <definedName name="Efficiency24" localSheetId="7">'[1]Step 3. FA Balance'!$L$149</definedName>
    <definedName name="Efficiency24" localSheetId="8">'[1]Step 3. FA Balance'!$L$149</definedName>
    <definedName name="Efficiency24" localSheetId="1">'[1]Step 3. FA Balance'!$L$149</definedName>
    <definedName name="Efficiency24" localSheetId="3">'[1]Step 3. FA Balance'!$L$149</definedName>
    <definedName name="Efficiency24">'Step 3. FA Balance'!$L$149</definedName>
    <definedName name="Efficiency3" localSheetId="16">'[1]Step 3. FA Balance'!$L$107</definedName>
    <definedName name="Efficiency3" localSheetId="6">'[1]Step 3. FA Balance'!$L$107</definedName>
    <definedName name="Efficiency3" localSheetId="11">'[1]Step 3. FA Balance'!$L$107</definedName>
    <definedName name="Efficiency3" localSheetId="4">'[1]Step 3. FA Balance'!$L$107</definedName>
    <definedName name="Efficiency3" localSheetId="9">'[1]Step 3. FA Balance'!$L$107</definedName>
    <definedName name="Efficiency3" localSheetId="10">'[1]Step 3. FA Balance'!$L$107</definedName>
    <definedName name="Efficiency3" localSheetId="7">'[1]Step 3. FA Balance'!$L$107</definedName>
    <definedName name="Efficiency3" localSheetId="8">'[1]Step 3. FA Balance'!$L$107</definedName>
    <definedName name="Efficiency3" localSheetId="1">'[1]Step 3. FA Balance'!$L$107</definedName>
    <definedName name="Efficiency3" localSheetId="3">'[1]Step 3. FA Balance'!$L$107</definedName>
    <definedName name="Efficiency3">'Step 3. FA Balance'!$L$107</definedName>
    <definedName name="Efficiency4" localSheetId="16">'[1]Step 3. FA Balance'!$L$109</definedName>
    <definedName name="Efficiency4" localSheetId="6">'[1]Step 3. FA Balance'!$L$109</definedName>
    <definedName name="Efficiency4" localSheetId="11">'[1]Step 3. FA Balance'!$L$109</definedName>
    <definedName name="Efficiency4" localSheetId="4">'[1]Step 3. FA Balance'!$L$109</definedName>
    <definedName name="Efficiency4" localSheetId="9">'[1]Step 3. FA Balance'!$L$109</definedName>
    <definedName name="Efficiency4" localSheetId="10">'[1]Step 3. FA Balance'!$L$109</definedName>
    <definedName name="Efficiency4" localSheetId="7">'[1]Step 3. FA Balance'!$L$109</definedName>
    <definedName name="Efficiency4" localSheetId="8">'[1]Step 3. FA Balance'!$L$109</definedName>
    <definedName name="Efficiency4" localSheetId="1">'[1]Step 3. FA Balance'!$L$109</definedName>
    <definedName name="Efficiency4" localSheetId="3">'[1]Step 3. FA Balance'!$L$109</definedName>
    <definedName name="Efficiency4">'Step 3. FA Balance'!$L$109</definedName>
    <definedName name="Efficiency5" localSheetId="16">'[1]Step 3. FA Balance'!$L$111</definedName>
    <definedName name="Efficiency5" localSheetId="6">'[1]Step 3. FA Balance'!$L$111</definedName>
    <definedName name="Efficiency5" localSheetId="11">'[1]Step 3. FA Balance'!$L$111</definedName>
    <definedName name="Efficiency5" localSheetId="4">'[1]Step 3. FA Balance'!$L$111</definedName>
    <definedName name="Efficiency5" localSheetId="9">'[1]Step 3. FA Balance'!$L$111</definedName>
    <definedName name="Efficiency5" localSheetId="10">'[1]Step 3. FA Balance'!$L$111</definedName>
    <definedName name="Efficiency5" localSheetId="7">'[1]Step 3. FA Balance'!$L$111</definedName>
    <definedName name="Efficiency5" localSheetId="8">'[1]Step 3. FA Balance'!$L$111</definedName>
    <definedName name="Efficiency5" localSheetId="1">'[1]Step 3. FA Balance'!$L$111</definedName>
    <definedName name="Efficiency5" localSheetId="3">'[1]Step 3. FA Balance'!$L$111</definedName>
    <definedName name="Efficiency5">'Step 3. FA Balance'!$L$111</definedName>
    <definedName name="Efficiency6" localSheetId="16">'[1]Step 3. FA Balance'!$L$113</definedName>
    <definedName name="Efficiency6" localSheetId="6">'[1]Step 3. FA Balance'!$L$113</definedName>
    <definedName name="Efficiency6" localSheetId="11">'[1]Step 3. FA Balance'!$L$113</definedName>
    <definedName name="Efficiency6" localSheetId="4">'[1]Step 3. FA Balance'!$L$113</definedName>
    <definedName name="Efficiency6" localSheetId="9">'[1]Step 3. FA Balance'!$L$113</definedName>
    <definedName name="Efficiency6" localSheetId="10">'[1]Step 3. FA Balance'!$L$113</definedName>
    <definedName name="Efficiency6" localSheetId="7">'[1]Step 3. FA Balance'!$L$113</definedName>
    <definedName name="Efficiency6" localSheetId="8">'[1]Step 3. FA Balance'!$L$113</definedName>
    <definedName name="Efficiency6" localSheetId="1">'[1]Step 3. FA Balance'!$L$113</definedName>
    <definedName name="Efficiency6" localSheetId="3">'[1]Step 3. FA Balance'!$L$113</definedName>
    <definedName name="Efficiency6">'Step 3. FA Balance'!$L$113</definedName>
    <definedName name="Efficiency7" localSheetId="16">'[1]Step 3. FA Balance'!$L$115</definedName>
    <definedName name="Efficiency7" localSheetId="6">'[1]Step 3. FA Balance'!$L$115</definedName>
    <definedName name="Efficiency7" localSheetId="11">'[1]Step 3. FA Balance'!$L$115</definedName>
    <definedName name="Efficiency7" localSheetId="4">'[1]Step 3. FA Balance'!$L$115</definedName>
    <definedName name="Efficiency7" localSheetId="9">'[1]Step 3. FA Balance'!$L$115</definedName>
    <definedName name="Efficiency7" localSheetId="10">'[1]Step 3. FA Balance'!$L$115</definedName>
    <definedName name="Efficiency7" localSheetId="7">'[1]Step 3. FA Balance'!$L$115</definedName>
    <definedName name="Efficiency7" localSheetId="8">'[1]Step 3. FA Balance'!$L$115</definedName>
    <definedName name="Efficiency7" localSheetId="1">'[1]Step 3. FA Balance'!$L$115</definedName>
    <definedName name="Efficiency7" localSheetId="3">'[1]Step 3. FA Balance'!$L$115</definedName>
    <definedName name="Efficiency7">'Step 3. FA Balance'!$L$115</definedName>
    <definedName name="Efficiency8" localSheetId="16">'[1]Step 3. FA Balance'!$L$117</definedName>
    <definedName name="Efficiency8" localSheetId="6">'[1]Step 3. FA Balance'!$L$117</definedName>
    <definedName name="Efficiency8" localSheetId="11">'[1]Step 3. FA Balance'!$L$117</definedName>
    <definedName name="Efficiency8" localSheetId="4">'[1]Step 3. FA Balance'!$L$117</definedName>
    <definedName name="Efficiency8" localSheetId="9">'[1]Step 3. FA Balance'!$L$117</definedName>
    <definedName name="Efficiency8" localSheetId="10">'[1]Step 3. FA Balance'!$L$117</definedName>
    <definedName name="Efficiency8" localSheetId="7">'[1]Step 3. FA Balance'!$L$117</definedName>
    <definedName name="Efficiency8" localSheetId="8">'[1]Step 3. FA Balance'!$L$117</definedName>
    <definedName name="Efficiency8" localSheetId="1">'[1]Step 3. FA Balance'!$L$117</definedName>
    <definedName name="Efficiency8" localSheetId="3">'[1]Step 3. FA Balance'!$L$117</definedName>
    <definedName name="Efficiency8">'Step 3. FA Balance'!$L$117</definedName>
    <definedName name="Efficiency9" localSheetId="16">'[1]Step 3. FA Balance'!$L$119</definedName>
    <definedName name="Efficiency9" localSheetId="6">'[1]Step 3. FA Balance'!$L$119</definedName>
    <definedName name="Efficiency9" localSheetId="11">'[1]Step 3. FA Balance'!$L$119</definedName>
    <definedName name="Efficiency9" localSheetId="4">'[1]Step 3. FA Balance'!$L$119</definedName>
    <definedName name="Efficiency9" localSheetId="9">'[1]Step 3. FA Balance'!$L$119</definedName>
    <definedName name="Efficiency9" localSheetId="10">'[1]Step 3. FA Balance'!$L$119</definedName>
    <definedName name="Efficiency9" localSheetId="7">'[1]Step 3. FA Balance'!$L$119</definedName>
    <definedName name="Efficiency9" localSheetId="8">'[1]Step 3. FA Balance'!$L$119</definedName>
    <definedName name="Efficiency9" localSheetId="1">'[1]Step 3. FA Balance'!$L$119</definedName>
    <definedName name="Efficiency9" localSheetId="3">'[1]Step 3. FA Balance'!$L$119</definedName>
    <definedName name="Efficiency9">'Step 3. FA Balance'!$L$119</definedName>
    <definedName name="EnteringData">Instructions!$C$63</definedName>
    <definedName name="Field">Instructions!$C$169</definedName>
    <definedName name="Field1" localSheetId="16">'[1]Step 3. FA Balance'!$G$103</definedName>
    <definedName name="Field1" localSheetId="6">'[1]Step 3. FA Balance'!$G$103</definedName>
    <definedName name="Field1" localSheetId="11">'[1]Step 3. FA Balance'!$G$103</definedName>
    <definedName name="Field1" localSheetId="4">'[1]Step 3. FA Balance'!$G$103</definedName>
    <definedName name="Field1" localSheetId="9">'[1]Step 3. FA Balance'!$G$103</definedName>
    <definedName name="Field1" localSheetId="10">'[1]Step 3. FA Balance'!$G$103</definedName>
    <definedName name="Field1" localSheetId="7">'[1]Step 3. FA Balance'!$G$103</definedName>
    <definedName name="Field1" localSheetId="8">'[1]Step 3. FA Balance'!$G$103</definedName>
    <definedName name="Field1" localSheetId="1">'[1]Step 3. FA Balance'!$G$103</definedName>
    <definedName name="Field1" localSheetId="3">'[1]Step 3. FA Balance'!$G$103</definedName>
    <definedName name="Field1">'Step 3. FA Balance'!$G$103</definedName>
    <definedName name="Field10" localSheetId="16">'[1]Step 3. FA Balance'!$G$121</definedName>
    <definedName name="Field10" localSheetId="6">'[1]Step 3. FA Balance'!$G$121</definedName>
    <definedName name="Field10" localSheetId="11">'[1]Step 3. FA Balance'!$G$121</definedName>
    <definedName name="Field10" localSheetId="4">'[1]Step 3. FA Balance'!$G$121</definedName>
    <definedName name="Field10" localSheetId="9">'[1]Step 3. FA Balance'!$G$121</definedName>
    <definedName name="Field10" localSheetId="10">'[1]Step 3. FA Balance'!$G$121</definedName>
    <definedName name="Field10" localSheetId="7">'[1]Step 3. FA Balance'!$G$121</definedName>
    <definedName name="Field10" localSheetId="8">'[1]Step 3. FA Balance'!$G$121</definedName>
    <definedName name="Field10" localSheetId="1">'[1]Step 3. FA Balance'!$G$121</definedName>
    <definedName name="Field10" localSheetId="3">'[1]Step 3. FA Balance'!$G$121</definedName>
    <definedName name="Field10">'Step 3. FA Balance'!$G$121</definedName>
    <definedName name="Field11" localSheetId="16">'[1]Step 3. FA Balance'!$G$123</definedName>
    <definedName name="Field11" localSheetId="6">'[1]Step 3. FA Balance'!$G$123</definedName>
    <definedName name="Field11" localSheetId="11">'[1]Step 3. FA Balance'!$G$123</definedName>
    <definedName name="Field11" localSheetId="4">'[1]Step 3. FA Balance'!$G$123</definedName>
    <definedName name="Field11" localSheetId="9">'[1]Step 3. FA Balance'!$G$123</definedName>
    <definedName name="Field11" localSheetId="10">'[1]Step 3. FA Balance'!$G$123</definedName>
    <definedName name="Field11" localSheetId="7">'[1]Step 3. FA Balance'!$G$123</definedName>
    <definedName name="Field11" localSheetId="8">'[1]Step 3. FA Balance'!$G$123</definedName>
    <definedName name="Field11" localSheetId="1">'[1]Step 3. FA Balance'!$G$123</definedName>
    <definedName name="Field11" localSheetId="3">'[1]Step 3. FA Balance'!$G$123</definedName>
    <definedName name="Field11">'Step 3. FA Balance'!$G$123</definedName>
    <definedName name="Field12" localSheetId="16">'[1]Step 3. FA Balance'!$G$125</definedName>
    <definedName name="Field12" localSheetId="6">'[1]Step 3. FA Balance'!$G$125</definedName>
    <definedName name="Field12" localSheetId="11">'[1]Step 3. FA Balance'!$G$125</definedName>
    <definedName name="Field12" localSheetId="4">'[1]Step 3. FA Balance'!$G$125</definedName>
    <definedName name="Field12" localSheetId="9">'[1]Step 3. FA Balance'!$G$125</definedName>
    <definedName name="Field12" localSheetId="10">'[1]Step 3. FA Balance'!$G$125</definedName>
    <definedName name="Field12" localSheetId="7">'[1]Step 3. FA Balance'!$G$125</definedName>
    <definedName name="Field12" localSheetId="8">'[1]Step 3. FA Balance'!$G$125</definedName>
    <definedName name="Field12" localSheetId="1">'[1]Step 3. FA Balance'!$G$125</definedName>
    <definedName name="Field12" localSheetId="3">'[1]Step 3. FA Balance'!$G$125</definedName>
    <definedName name="Field12">'Step 3. FA Balance'!$G$125</definedName>
    <definedName name="Field13" localSheetId="16">'[1]Step 3. FA Balance'!$G$127</definedName>
    <definedName name="Field13" localSheetId="6">'[1]Step 3. FA Balance'!$G$127</definedName>
    <definedName name="Field13" localSheetId="11">'[1]Step 3. FA Balance'!$G$127</definedName>
    <definedName name="Field13" localSheetId="4">'[1]Step 3. FA Balance'!$G$127</definedName>
    <definedName name="Field13" localSheetId="9">'[1]Step 3. FA Balance'!$G$127</definedName>
    <definedName name="Field13" localSheetId="10">'[1]Step 3. FA Balance'!$G$127</definedName>
    <definedName name="Field13" localSheetId="7">'[1]Step 3. FA Balance'!$G$127</definedName>
    <definedName name="Field13" localSheetId="8">'[1]Step 3. FA Balance'!$G$127</definedName>
    <definedName name="Field13" localSheetId="1">'[1]Step 3. FA Balance'!$G$127</definedName>
    <definedName name="Field13" localSheetId="3">'[1]Step 3. FA Balance'!$G$127</definedName>
    <definedName name="Field13">'Step 3. FA Balance'!$G$127</definedName>
    <definedName name="Field14" localSheetId="16">'[1]Step 3. FA Balance'!$G$129</definedName>
    <definedName name="Field14" localSheetId="6">'[1]Step 3. FA Balance'!$G$129</definedName>
    <definedName name="Field14" localSheetId="11">'[1]Step 3. FA Balance'!$G$129</definedName>
    <definedName name="Field14" localSheetId="4">'[1]Step 3. FA Balance'!$G$129</definedName>
    <definedName name="Field14" localSheetId="9">'[1]Step 3. FA Balance'!$G$129</definedName>
    <definedName name="Field14" localSheetId="10">'[1]Step 3. FA Balance'!$G$129</definedName>
    <definedName name="Field14" localSheetId="7">'[1]Step 3. FA Balance'!$G$129</definedName>
    <definedName name="Field14" localSheetId="8">'[1]Step 3. FA Balance'!$G$129</definedName>
    <definedName name="Field14" localSheetId="1">'[1]Step 3. FA Balance'!$G$129</definedName>
    <definedName name="Field14" localSheetId="3">'[1]Step 3. FA Balance'!$G$129</definedName>
    <definedName name="Field14">'Step 3. FA Balance'!$G$129</definedName>
    <definedName name="Field15" localSheetId="16">'[1]Step 3. FA Balance'!$G$131</definedName>
    <definedName name="Field15" localSheetId="6">'[1]Step 3. FA Balance'!$G$131</definedName>
    <definedName name="Field15" localSheetId="11">'[1]Step 3. FA Balance'!$G$131</definedName>
    <definedName name="Field15" localSheetId="4">'[1]Step 3. FA Balance'!$G$131</definedName>
    <definedName name="Field15" localSheetId="9">'[1]Step 3. FA Balance'!$G$131</definedName>
    <definedName name="Field15" localSheetId="10">'[1]Step 3. FA Balance'!$G$131</definedName>
    <definedName name="Field15" localSheetId="7">'[1]Step 3. FA Balance'!$G$131</definedName>
    <definedName name="Field15" localSheetId="8">'[1]Step 3. FA Balance'!$G$131</definedName>
    <definedName name="Field15" localSheetId="1">'[1]Step 3. FA Balance'!$G$131</definedName>
    <definedName name="Field15" localSheetId="3">'[1]Step 3. FA Balance'!$G$131</definedName>
    <definedName name="Field15">'Step 3. FA Balance'!$G$131</definedName>
    <definedName name="Field16" localSheetId="16">'[1]Step 3. FA Balance'!$G$133</definedName>
    <definedName name="Field16" localSheetId="6">'[1]Step 3. FA Balance'!$G$133</definedName>
    <definedName name="Field16" localSheetId="11">'[1]Step 3. FA Balance'!$G$133</definedName>
    <definedName name="Field16" localSheetId="4">'[1]Step 3. FA Balance'!$G$133</definedName>
    <definedName name="Field16" localSheetId="9">'[1]Step 3. FA Balance'!$G$133</definedName>
    <definedName name="Field16" localSheetId="10">'[1]Step 3. FA Balance'!$G$133</definedName>
    <definedName name="Field16" localSheetId="7">'[1]Step 3. FA Balance'!$G$133</definedName>
    <definedName name="Field16" localSheetId="8">'[1]Step 3. FA Balance'!$G$133</definedName>
    <definedName name="Field16" localSheetId="1">'[1]Step 3. FA Balance'!$G$133</definedName>
    <definedName name="Field16" localSheetId="3">'[1]Step 3. FA Balance'!$G$133</definedName>
    <definedName name="Field16">'Step 3. FA Balance'!$G$133</definedName>
    <definedName name="Field17" localSheetId="16">'[1]Step 3. FA Balance'!$G$135</definedName>
    <definedName name="Field17" localSheetId="6">'[1]Step 3. FA Balance'!$G$135</definedName>
    <definedName name="Field17" localSheetId="11">'[1]Step 3. FA Balance'!$G$135</definedName>
    <definedName name="Field17" localSheetId="4">'[1]Step 3. FA Balance'!$G$135</definedName>
    <definedName name="Field17" localSheetId="9">'[1]Step 3. FA Balance'!$G$135</definedName>
    <definedName name="Field17" localSheetId="10">'[1]Step 3. FA Balance'!$G$135</definedName>
    <definedName name="Field17" localSheetId="7">'[1]Step 3. FA Balance'!$G$135</definedName>
    <definedName name="Field17" localSheetId="8">'[1]Step 3. FA Balance'!$G$135</definedName>
    <definedName name="Field17" localSheetId="1">'[1]Step 3. FA Balance'!$G$135</definedName>
    <definedName name="Field17" localSheetId="3">'[1]Step 3. FA Balance'!$G$135</definedName>
    <definedName name="Field17">'Step 3. FA Balance'!$G$135</definedName>
    <definedName name="Field18" localSheetId="16">'[1]Step 3. FA Balance'!$G$137</definedName>
    <definedName name="Field18" localSheetId="6">'[1]Step 3. FA Balance'!$G$137</definedName>
    <definedName name="Field18" localSheetId="11">'[1]Step 3. FA Balance'!$G$137</definedName>
    <definedName name="Field18" localSheetId="4">'[1]Step 3. FA Balance'!$G$137</definedName>
    <definedName name="Field18" localSheetId="9">'[1]Step 3. FA Balance'!$G$137</definedName>
    <definedName name="Field18" localSheetId="10">'[1]Step 3. FA Balance'!$G$137</definedName>
    <definedName name="Field18" localSheetId="7">'[1]Step 3. FA Balance'!$G$137</definedName>
    <definedName name="Field18" localSheetId="8">'[1]Step 3. FA Balance'!$G$137</definedName>
    <definedName name="Field18" localSheetId="1">'[1]Step 3. FA Balance'!$G$137</definedName>
    <definedName name="Field18" localSheetId="3">'[1]Step 3. FA Balance'!$G$137</definedName>
    <definedName name="Field18">'Step 3. FA Balance'!$G$137</definedName>
    <definedName name="Field19" localSheetId="16">'[1]Step 3. FA Balance'!$G$139</definedName>
    <definedName name="Field19" localSheetId="6">'[1]Step 3. FA Balance'!$G$139</definedName>
    <definedName name="Field19" localSheetId="11">'[1]Step 3. FA Balance'!$G$139</definedName>
    <definedName name="Field19" localSheetId="4">'[1]Step 3. FA Balance'!$G$139</definedName>
    <definedName name="Field19" localSheetId="9">'[1]Step 3. FA Balance'!$G$139</definedName>
    <definedName name="Field19" localSheetId="10">'[1]Step 3. FA Balance'!$G$139</definedName>
    <definedName name="Field19" localSheetId="7">'[1]Step 3. FA Balance'!$G$139</definedName>
    <definedName name="Field19" localSheetId="8">'[1]Step 3. FA Balance'!$G$139</definedName>
    <definedName name="Field19" localSheetId="1">'[1]Step 3. FA Balance'!$G$139</definedName>
    <definedName name="Field19" localSheetId="3">'[1]Step 3. FA Balance'!$G$139</definedName>
    <definedName name="Field19">'Step 3. FA Balance'!$G$139</definedName>
    <definedName name="Field2" localSheetId="16">'[1]Step 3. FA Balance'!$G$105</definedName>
    <definedName name="Field2" localSheetId="6">'[1]Step 3. FA Balance'!$G$105</definedName>
    <definedName name="Field2" localSheetId="11">'[1]Step 3. FA Balance'!$G$105</definedName>
    <definedName name="Field2" localSheetId="4">'[1]Step 3. FA Balance'!$G$105</definedName>
    <definedName name="Field2" localSheetId="9">'[1]Step 3. FA Balance'!$G$105</definedName>
    <definedName name="Field2" localSheetId="10">'[1]Step 3. FA Balance'!$G$105</definedName>
    <definedName name="Field2" localSheetId="7">'[1]Step 3. FA Balance'!$G$105</definedName>
    <definedName name="Field2" localSheetId="8">'[1]Step 3. FA Balance'!$G$105</definedName>
    <definedName name="Field2" localSheetId="1">'[1]Step 3. FA Balance'!$G$105</definedName>
    <definedName name="Field2" localSheetId="3">'[1]Step 3. FA Balance'!$G$105</definedName>
    <definedName name="Field2">'Step 3. FA Balance'!$G$105</definedName>
    <definedName name="Field20" localSheetId="16">'[1]Step 3. FA Balance'!$G$141</definedName>
    <definedName name="Field20" localSheetId="6">'[1]Step 3. FA Balance'!$G$141</definedName>
    <definedName name="Field20" localSheetId="11">'[1]Step 3. FA Balance'!$G$141</definedName>
    <definedName name="Field20" localSheetId="4">'[1]Step 3. FA Balance'!$G$141</definedName>
    <definedName name="Field20" localSheetId="9">'[1]Step 3. FA Balance'!$G$141</definedName>
    <definedName name="Field20" localSheetId="10">'[1]Step 3. FA Balance'!$G$141</definedName>
    <definedName name="Field20" localSheetId="7">'[1]Step 3. FA Balance'!$G$141</definedName>
    <definedName name="Field20" localSheetId="8">'[1]Step 3. FA Balance'!$G$141</definedName>
    <definedName name="Field20" localSheetId="1">'[1]Step 3. FA Balance'!$G$141</definedName>
    <definedName name="Field20" localSheetId="3">'[1]Step 3. FA Balance'!$G$141</definedName>
    <definedName name="Field20">'Step 3. FA Balance'!$G$141</definedName>
    <definedName name="Field21" localSheetId="16">'[1]Step 3. FA Balance'!$G$143</definedName>
    <definedName name="Field21" localSheetId="6">'[1]Step 3. FA Balance'!$G$143</definedName>
    <definedName name="Field21" localSheetId="11">'[1]Step 3. FA Balance'!$G$143</definedName>
    <definedName name="Field21" localSheetId="4">'[1]Step 3. FA Balance'!$G$143</definedName>
    <definedName name="Field21" localSheetId="9">'[1]Step 3. FA Balance'!$G$143</definedName>
    <definedName name="Field21" localSheetId="10">'[1]Step 3. FA Balance'!$G$143</definedName>
    <definedName name="Field21" localSheetId="7">'[1]Step 3. FA Balance'!$G$143</definedName>
    <definedName name="Field21" localSheetId="8">'[1]Step 3. FA Balance'!$G$143</definedName>
    <definedName name="Field21" localSheetId="1">'[1]Step 3. FA Balance'!$G$143</definedName>
    <definedName name="Field21" localSheetId="3">'[1]Step 3. FA Balance'!$G$143</definedName>
    <definedName name="Field21">'Step 3. FA Balance'!$G$143</definedName>
    <definedName name="Field22" localSheetId="16">'[1]Step 3. FA Balance'!$G$145</definedName>
    <definedName name="Field22" localSheetId="6">'[1]Step 3. FA Balance'!$G$145</definedName>
    <definedName name="Field22" localSheetId="11">'[1]Step 3. FA Balance'!$G$145</definedName>
    <definedName name="Field22" localSheetId="4">'[1]Step 3. FA Balance'!$G$145</definedName>
    <definedName name="Field22" localSheetId="9">'[1]Step 3. FA Balance'!$G$145</definedName>
    <definedName name="Field22" localSheetId="10">'[1]Step 3. FA Balance'!$G$145</definedName>
    <definedName name="Field22" localSheetId="7">'[1]Step 3. FA Balance'!$G$145</definedName>
    <definedName name="Field22" localSheetId="8">'[1]Step 3. FA Balance'!$G$145</definedName>
    <definedName name="Field22" localSheetId="1">'[1]Step 3. FA Balance'!$G$145</definedName>
    <definedName name="Field22" localSheetId="3">'[1]Step 3. FA Balance'!$G$145</definedName>
    <definedName name="Field22">'Step 3. FA Balance'!$G$145</definedName>
    <definedName name="Field23" localSheetId="16">'[1]Step 3. FA Balance'!$G$147</definedName>
    <definedName name="Field23" localSheetId="6">'[1]Step 3. FA Balance'!$G$147</definedName>
    <definedName name="Field23" localSheetId="11">'[1]Step 3. FA Balance'!$G$147</definedName>
    <definedName name="Field23" localSheetId="4">'[1]Step 3. FA Balance'!$G$147</definedName>
    <definedName name="Field23" localSheetId="9">'[1]Step 3. FA Balance'!$G$147</definedName>
    <definedName name="Field23" localSheetId="10">'[1]Step 3. FA Balance'!$G$147</definedName>
    <definedName name="Field23" localSheetId="7">'[1]Step 3. FA Balance'!$G$147</definedName>
    <definedName name="Field23" localSheetId="8">'[1]Step 3. FA Balance'!$G$147</definedName>
    <definedName name="Field23" localSheetId="1">'[1]Step 3. FA Balance'!$G$147</definedName>
    <definedName name="Field23" localSheetId="3">'[1]Step 3. FA Balance'!$G$147</definedName>
    <definedName name="Field23">'Step 3. FA Balance'!$G$147</definedName>
    <definedName name="Field24" localSheetId="16">'[1]Step 3. FA Balance'!$G$149</definedName>
    <definedName name="Field24" localSheetId="6">'[1]Step 3. FA Balance'!$G$149</definedName>
    <definedName name="Field24" localSheetId="11">'[1]Step 3. FA Balance'!$G$149</definedName>
    <definedName name="Field24" localSheetId="4">'[1]Step 3. FA Balance'!$G$149</definedName>
    <definedName name="Field24" localSheetId="9">'[1]Step 3. FA Balance'!$G$149</definedName>
    <definedName name="Field24" localSheetId="10">'[1]Step 3. FA Balance'!$G$149</definedName>
    <definedName name="Field24" localSheetId="7">'[1]Step 3. FA Balance'!$G$149</definedName>
    <definedName name="Field24" localSheetId="8">'[1]Step 3. FA Balance'!$G$149</definedName>
    <definedName name="Field24" localSheetId="1">'[1]Step 3. FA Balance'!$G$149</definedName>
    <definedName name="Field24" localSheetId="3">'[1]Step 3. FA Balance'!$G$149</definedName>
    <definedName name="Field24">'Step 3. FA Balance'!$G$149</definedName>
    <definedName name="Field3" localSheetId="16">'[1]Step 3. FA Balance'!$G$107</definedName>
    <definedName name="Field3" localSheetId="6">'[1]Step 3. FA Balance'!$G$107</definedName>
    <definedName name="Field3" localSheetId="11">'[1]Step 3. FA Balance'!$G$107</definedName>
    <definedName name="Field3" localSheetId="4">'[1]Step 3. FA Balance'!$G$107</definedName>
    <definedName name="Field3" localSheetId="9">'[1]Step 3. FA Balance'!$G$107</definedName>
    <definedName name="Field3" localSheetId="10">'[1]Step 3. FA Balance'!$G$107</definedName>
    <definedName name="Field3" localSheetId="7">'[1]Step 3. FA Balance'!$G$107</definedName>
    <definedName name="Field3" localSheetId="8">'[1]Step 3. FA Balance'!$G$107</definedName>
    <definedName name="Field3" localSheetId="1">'[1]Step 3. FA Balance'!$G$107</definedName>
    <definedName name="Field3" localSheetId="3">'[1]Step 3. FA Balance'!$G$107</definedName>
    <definedName name="Field3">'Step 3. FA Balance'!$G$107</definedName>
    <definedName name="Field4" localSheetId="16">'[1]Step 3. FA Balance'!$G$109</definedName>
    <definedName name="Field4" localSheetId="6">'[1]Step 3. FA Balance'!$G$109</definedName>
    <definedName name="Field4" localSheetId="11">'[1]Step 3. FA Balance'!$G$109</definedName>
    <definedName name="Field4" localSheetId="4">'[1]Step 3. FA Balance'!$G$109</definedName>
    <definedName name="Field4" localSheetId="9">'[1]Step 3. FA Balance'!$G$109</definedName>
    <definedName name="Field4" localSheetId="10">'[1]Step 3. FA Balance'!$G$109</definedName>
    <definedName name="Field4" localSheetId="7">'[1]Step 3. FA Balance'!$G$109</definedName>
    <definedName name="Field4" localSheetId="8">'[1]Step 3. FA Balance'!$G$109</definedName>
    <definedName name="Field4" localSheetId="1">'[1]Step 3. FA Balance'!$G$109</definedName>
    <definedName name="Field4" localSheetId="3">'[1]Step 3. FA Balance'!$G$109</definedName>
    <definedName name="Field4">'Step 3. FA Balance'!$G$109</definedName>
    <definedName name="Field5" localSheetId="16">'[1]Step 3. FA Balance'!$G$111</definedName>
    <definedName name="Field5" localSheetId="6">'[1]Step 3. FA Balance'!$G$111</definedName>
    <definedName name="Field5" localSheetId="11">'[1]Step 3. FA Balance'!$G$111</definedName>
    <definedName name="Field5" localSheetId="4">'[1]Step 3. FA Balance'!$G$111</definedName>
    <definedName name="Field5" localSheetId="9">'[1]Step 3. FA Balance'!$G$111</definedName>
    <definedName name="Field5" localSheetId="10">'[1]Step 3. FA Balance'!$G$111</definedName>
    <definedName name="Field5" localSheetId="7">'[1]Step 3. FA Balance'!$G$111</definedName>
    <definedName name="Field5" localSheetId="8">'[1]Step 3. FA Balance'!$G$111</definedName>
    <definedName name="Field5" localSheetId="1">'[1]Step 3. FA Balance'!$G$111</definedName>
    <definedName name="Field5" localSheetId="3">'[1]Step 3. FA Balance'!$G$111</definedName>
    <definedName name="Field5">'Step 3. FA Balance'!$G$111</definedName>
    <definedName name="Field6" localSheetId="16">'[1]Step 3. FA Balance'!$G$113</definedName>
    <definedName name="Field6" localSheetId="6">'[1]Step 3. FA Balance'!$G$113</definedName>
    <definedName name="Field6" localSheetId="11">'[1]Step 3. FA Balance'!$G$113</definedName>
    <definedName name="Field6" localSheetId="4">'[1]Step 3. FA Balance'!$G$113</definedName>
    <definedName name="Field6" localSheetId="9">'[1]Step 3. FA Balance'!$G$113</definedName>
    <definedName name="Field6" localSheetId="10">'[1]Step 3. FA Balance'!$G$113</definedName>
    <definedName name="Field6" localSheetId="7">'[1]Step 3. FA Balance'!$G$113</definedName>
    <definedName name="Field6" localSheetId="8">'[1]Step 3. FA Balance'!$G$113</definedName>
    <definedName name="Field6" localSheetId="1">'[1]Step 3. FA Balance'!$G$113</definedName>
    <definedName name="Field6" localSheetId="3">'[1]Step 3. FA Balance'!$G$113</definedName>
    <definedName name="Field6">'Step 3. FA Balance'!$G$113</definedName>
    <definedName name="Field7" localSheetId="16">'[1]Step 3. FA Balance'!$G$115</definedName>
    <definedName name="Field7" localSheetId="6">'[1]Step 3. FA Balance'!$G$115</definedName>
    <definedName name="Field7" localSheetId="11">'[1]Step 3. FA Balance'!$G$115</definedName>
    <definedName name="Field7" localSheetId="4">'[1]Step 3. FA Balance'!$G$115</definedName>
    <definedName name="Field7" localSheetId="9">'[1]Step 3. FA Balance'!$G$115</definedName>
    <definedName name="Field7" localSheetId="10">'[1]Step 3. FA Balance'!$G$115</definedName>
    <definedName name="Field7" localSheetId="7">'[1]Step 3. FA Balance'!$G$115</definedName>
    <definedName name="Field7" localSheetId="8">'[1]Step 3. FA Balance'!$G$115</definedName>
    <definedName name="Field7" localSheetId="1">'[1]Step 3. FA Balance'!$G$115</definedName>
    <definedName name="Field7" localSheetId="3">'[1]Step 3. FA Balance'!$G$115</definedName>
    <definedName name="Field7">'Step 3. FA Balance'!$G$115</definedName>
    <definedName name="Field8" localSheetId="16">'[1]Step 3. FA Balance'!$G$117</definedName>
    <definedName name="Field8" localSheetId="6">'[1]Step 3. FA Balance'!$G$117</definedName>
    <definedName name="Field8" localSheetId="11">'[1]Step 3. FA Balance'!$G$117</definedName>
    <definedName name="Field8" localSheetId="4">'[1]Step 3. FA Balance'!$G$117</definedName>
    <definedName name="Field8" localSheetId="9">'[1]Step 3. FA Balance'!$G$117</definedName>
    <definedName name="Field8" localSheetId="10">'[1]Step 3. FA Balance'!$G$117</definedName>
    <definedName name="Field8" localSheetId="7">'[1]Step 3. FA Balance'!$G$117</definedName>
    <definedName name="Field8" localSheetId="8">'[1]Step 3. FA Balance'!$G$117</definedName>
    <definedName name="Field8" localSheetId="1">'[1]Step 3. FA Balance'!$G$117</definedName>
    <definedName name="Field8" localSheetId="3">'[1]Step 3. FA Balance'!$G$117</definedName>
    <definedName name="Field8">'Step 3. FA Balance'!$G$117</definedName>
    <definedName name="Field9" localSheetId="16">'[1]Step 3. FA Balance'!$G$119</definedName>
    <definedName name="Field9" localSheetId="6">'[1]Step 3. FA Balance'!$G$119</definedName>
    <definedName name="Field9" localSheetId="11">'[1]Step 3. FA Balance'!$G$119</definedName>
    <definedName name="Field9" localSheetId="4">'[1]Step 3. FA Balance'!$G$119</definedName>
    <definedName name="Field9" localSheetId="9">'[1]Step 3. FA Balance'!$G$119</definedName>
    <definedName name="Field9" localSheetId="10">'[1]Step 3. FA Balance'!$G$119</definedName>
    <definedName name="Field9" localSheetId="7">'[1]Step 3. FA Balance'!$G$119</definedName>
    <definedName name="Field9" localSheetId="8">'[1]Step 3. FA Balance'!$G$119</definedName>
    <definedName name="Field9" localSheetId="1">'[1]Step 3. FA Balance'!$G$119</definedName>
    <definedName name="Field9" localSheetId="3">'[1]Step 3. FA Balance'!$G$119</definedName>
    <definedName name="Field9">'Step 3. FA Balance'!$G$119</definedName>
    <definedName name="FieldAnnualDairy">'Step 1. Field Inventory'!$44:$60</definedName>
    <definedName name="FieldCowCalf">'Step 1. Field Inventory'!$19:$28</definedName>
    <definedName name="FieldHorses">'Step 1. Field Inventory'!$61:$70</definedName>
    <definedName name="FieldSeasonalDairy">'Step 1. Field Inventory'!$37:$43</definedName>
    <definedName name="FieldSheep">'Step 1. Field Inventory'!$71:$80</definedName>
    <definedName name="FieldStockers">'Step 1. Field Inventory'!$29:$36</definedName>
    <definedName name="FORAGE">ForageGrowthCurves!$A$8:$O$29</definedName>
    <definedName name="FORAGE2" localSheetId="16">[1]ForageGrowthCurves!$A$6:$N$29</definedName>
    <definedName name="FORAGE2" localSheetId="6">[1]ForageGrowthCurves!$A$6:$N$29</definedName>
    <definedName name="FORAGE2" localSheetId="11">[1]ForageGrowthCurves!$A$6:$N$29</definedName>
    <definedName name="FORAGE2" localSheetId="4">[1]ForageGrowthCurves!$A$6:$N$29</definedName>
    <definedName name="FORAGE2" localSheetId="9">[1]ForageGrowthCurves!$A$6:$N$29</definedName>
    <definedName name="FORAGE2" localSheetId="10">[1]ForageGrowthCurves!$A$6:$N$29</definedName>
    <definedName name="FORAGE2" localSheetId="7">[1]ForageGrowthCurves!$A$6:$N$29</definedName>
    <definedName name="FORAGE2" localSheetId="8">[1]ForageGrowthCurves!$A$6:$N$29</definedName>
    <definedName name="FORAGE2" localSheetId="1">[1]ForageGrowthCurves!$A$6:$N$29</definedName>
    <definedName name="FORAGE2" localSheetId="3">[1]ForageGrowthCurves!$A$6:$N$29</definedName>
    <definedName name="FORAGE2">ForageGrowthCurves!$A$6:$N$29</definedName>
    <definedName name="ForageList" localSheetId="16">[1]ForageGrowthCurves!$A$6:$A$29</definedName>
    <definedName name="ForageList" localSheetId="6">[1]ForageGrowthCurves!$A$6:$A$29</definedName>
    <definedName name="ForageList" localSheetId="11">[1]ForageGrowthCurves!$A$6:$A$29</definedName>
    <definedName name="ForageList" localSheetId="4">[1]ForageGrowthCurves!$A$6:$A$29</definedName>
    <definedName name="ForageList" localSheetId="9">[1]ForageGrowthCurves!$A$6:$A$29</definedName>
    <definedName name="ForageList" localSheetId="10">[1]ForageGrowthCurves!$A$6:$A$29</definedName>
    <definedName name="ForageList" localSheetId="7">[1]ForageGrowthCurves!$A$6:$A$29</definedName>
    <definedName name="ForageList" localSheetId="8">[1]ForageGrowthCurves!$A$6:$A$29</definedName>
    <definedName name="ForageList" localSheetId="1">[1]ForageGrowthCurves!$A$6:$A$29</definedName>
    <definedName name="ForageList" localSheetId="3">[1]ForageGrowthCurves!$A$6:$A$29</definedName>
    <definedName name="ForageList">ForageGrowthCurves!$A$6:$A$29</definedName>
    <definedName name="ForageProduction">Instructions!$D$109</definedName>
    <definedName name="General">'Step 3. FA Balance'!$H$6:$H$10</definedName>
    <definedName name="Goats">'Step 3. FA Balance'!$39:$40</definedName>
    <definedName name="GoatsCheck">Calculations!$L$53</definedName>
    <definedName name="GoatsInput">'Step 3. FA Balance'!$I$39:$K$39</definedName>
    <definedName name="GoatsSummary">'Step 4. Review Summary'!$20:$20</definedName>
    <definedName name="Graph">Instructions!$D$154</definedName>
    <definedName name="GrazingSystem">'Step 3. FA Balance'!$91:$91</definedName>
    <definedName name="GrazingSystemSum">'Step 3. FA Balance'!$228:$233</definedName>
    <definedName name="HarvestEff1" localSheetId="16">'[1]Step 3. FA Balance'!$L$160</definedName>
    <definedName name="HarvestEff1" localSheetId="6">'[1]Step 3. FA Balance'!$L$160</definedName>
    <definedName name="HarvestEff1" localSheetId="11">'[1]Step 3. FA Balance'!$L$160</definedName>
    <definedName name="HarvestEff1" localSheetId="4">'[1]Step 3. FA Balance'!$L$160</definedName>
    <definedName name="HarvestEff1" localSheetId="9">'[1]Step 3. FA Balance'!$L$160</definedName>
    <definedName name="HarvestEff1" localSheetId="10">'[1]Step 3. FA Balance'!$L$160</definedName>
    <definedName name="HarvestEff1" localSheetId="7">'[1]Step 3. FA Balance'!$L$160</definedName>
    <definedName name="HarvestEff1" localSheetId="8">'[1]Step 3. FA Balance'!$L$160</definedName>
    <definedName name="HarvestEff1" localSheetId="1">'[1]Step 3. FA Balance'!$L$160</definedName>
    <definedName name="HarvestEff1" localSheetId="3">'[1]Step 3. FA Balance'!$L$160</definedName>
    <definedName name="HarvestEff1">'Step 3. FA Balance'!$L$160</definedName>
    <definedName name="HarvestEff10" localSheetId="16">'[1]Step 3. FA Balance'!$L$169</definedName>
    <definedName name="HarvestEff10" localSheetId="6">'[1]Step 3. FA Balance'!$L$169</definedName>
    <definedName name="HarvestEff10" localSheetId="11">'[1]Step 3. FA Balance'!$L$169</definedName>
    <definedName name="HarvestEff10" localSheetId="4">'[1]Step 3. FA Balance'!$L$169</definedName>
    <definedName name="HarvestEff10" localSheetId="9">'[1]Step 3. FA Balance'!$L$169</definedName>
    <definedName name="HarvestEff10" localSheetId="10">'[1]Step 3. FA Balance'!$L$169</definedName>
    <definedName name="HarvestEff10" localSheetId="7">'[1]Step 3. FA Balance'!$L$169</definedName>
    <definedName name="HarvestEff10" localSheetId="8">'[1]Step 3. FA Balance'!$L$169</definedName>
    <definedName name="HarvestEff10" localSheetId="1">'[1]Step 3. FA Balance'!$L$169</definedName>
    <definedName name="HarvestEff10" localSheetId="3">'[1]Step 3. FA Balance'!$L$169</definedName>
    <definedName name="HarvestEff10">'Step 3. FA Balance'!$L$169</definedName>
    <definedName name="HarvestEff11" localSheetId="16">'[1]Step 3. FA Balance'!$L$170</definedName>
    <definedName name="HarvestEff11" localSheetId="6">'[1]Step 3. FA Balance'!$L$170</definedName>
    <definedName name="HarvestEff11" localSheetId="11">'[1]Step 3. FA Balance'!$L$170</definedName>
    <definedName name="HarvestEff11" localSheetId="4">'[1]Step 3. FA Balance'!$L$170</definedName>
    <definedName name="HarvestEff11" localSheetId="9">'[1]Step 3. FA Balance'!$L$170</definedName>
    <definedName name="HarvestEff11" localSheetId="10">'[1]Step 3. FA Balance'!$L$170</definedName>
    <definedName name="HarvestEff11" localSheetId="7">'[1]Step 3. FA Balance'!$L$170</definedName>
    <definedName name="HarvestEff11" localSheetId="8">'[1]Step 3. FA Balance'!$L$170</definedName>
    <definedName name="HarvestEff11" localSheetId="1">'[1]Step 3. FA Balance'!$L$170</definedName>
    <definedName name="HarvestEff11" localSheetId="3">'[1]Step 3. FA Balance'!$L$170</definedName>
    <definedName name="HarvestEff11">'Step 3. FA Balance'!$L$170</definedName>
    <definedName name="HarvestEff12" localSheetId="16">'[1]Step 3. FA Balance'!$L$171</definedName>
    <definedName name="HarvestEff12" localSheetId="6">'[1]Step 3. FA Balance'!$L$171</definedName>
    <definedName name="HarvestEff12" localSheetId="11">'[1]Step 3. FA Balance'!$L$171</definedName>
    <definedName name="HarvestEff12" localSheetId="4">'[1]Step 3. FA Balance'!$L$171</definedName>
    <definedName name="HarvestEff12" localSheetId="9">'[1]Step 3. FA Balance'!$L$171</definedName>
    <definedName name="HarvestEff12" localSheetId="10">'[1]Step 3. FA Balance'!$L$171</definedName>
    <definedName name="HarvestEff12" localSheetId="7">'[1]Step 3. FA Balance'!$L$171</definedName>
    <definedName name="HarvestEff12" localSheetId="8">'[1]Step 3. FA Balance'!$L$171</definedName>
    <definedName name="HarvestEff12" localSheetId="1">'[1]Step 3. FA Balance'!$L$171</definedName>
    <definedName name="HarvestEff12" localSheetId="3">'[1]Step 3. FA Balance'!$L$171</definedName>
    <definedName name="HarvestEff12">'Step 3. FA Balance'!$L$171</definedName>
    <definedName name="HarvestEff13" localSheetId="16">'[1]Step 3. FA Balance'!$L$172</definedName>
    <definedName name="HarvestEff13" localSheetId="6">'[1]Step 3. FA Balance'!$L$172</definedName>
    <definedName name="HarvestEff13" localSheetId="11">'[1]Step 3. FA Balance'!$L$172</definedName>
    <definedName name="HarvestEff13" localSheetId="4">'[1]Step 3. FA Balance'!$L$172</definedName>
    <definedName name="HarvestEff13" localSheetId="9">'[1]Step 3. FA Balance'!$L$172</definedName>
    <definedName name="HarvestEff13" localSheetId="10">'[1]Step 3. FA Balance'!$L$172</definedName>
    <definedName name="HarvestEff13" localSheetId="7">'[1]Step 3. FA Balance'!$L$172</definedName>
    <definedName name="HarvestEff13" localSheetId="8">'[1]Step 3. FA Balance'!$L$172</definedName>
    <definedName name="HarvestEff13" localSheetId="1">'[1]Step 3. FA Balance'!$L$172</definedName>
    <definedName name="HarvestEff13" localSheetId="3">'[1]Step 3. FA Balance'!$L$172</definedName>
    <definedName name="HarvestEff13">'Step 3. FA Balance'!$L$172</definedName>
    <definedName name="HarvestEff14" localSheetId="16">'[1]Step 3. FA Balance'!$L$173</definedName>
    <definedName name="HarvestEff14" localSheetId="6">'[1]Step 3. FA Balance'!$L$173</definedName>
    <definedName name="HarvestEff14" localSheetId="11">'[1]Step 3. FA Balance'!$L$173</definedName>
    <definedName name="HarvestEff14" localSheetId="4">'[1]Step 3. FA Balance'!$L$173</definedName>
    <definedName name="HarvestEff14" localSheetId="9">'[1]Step 3. FA Balance'!$L$173</definedName>
    <definedName name="HarvestEff14" localSheetId="10">'[1]Step 3. FA Balance'!$L$173</definedName>
    <definedName name="HarvestEff14" localSheetId="7">'[1]Step 3. FA Balance'!$L$173</definedName>
    <definedName name="HarvestEff14" localSheetId="8">'[1]Step 3. FA Balance'!$L$173</definedName>
    <definedName name="HarvestEff14" localSheetId="1">'[1]Step 3. FA Balance'!$L$173</definedName>
    <definedName name="HarvestEff14" localSheetId="3">'[1]Step 3. FA Balance'!$L$173</definedName>
    <definedName name="HarvestEff14">'Step 3. FA Balance'!$L$173</definedName>
    <definedName name="HarvestEff15" localSheetId="16">'[1]Step 3. FA Balance'!$L$174</definedName>
    <definedName name="HarvestEff15" localSheetId="6">'[1]Step 3. FA Balance'!$L$174</definedName>
    <definedName name="HarvestEff15" localSheetId="11">'[1]Step 3. FA Balance'!$L$174</definedName>
    <definedName name="HarvestEff15" localSheetId="4">'[1]Step 3. FA Balance'!$L$174</definedName>
    <definedName name="HarvestEff15" localSheetId="9">'[1]Step 3. FA Balance'!$L$174</definedName>
    <definedName name="HarvestEff15" localSheetId="10">'[1]Step 3. FA Balance'!$L$174</definedName>
    <definedName name="HarvestEff15" localSheetId="7">'[1]Step 3. FA Balance'!$L$174</definedName>
    <definedName name="HarvestEff15" localSheetId="8">'[1]Step 3. FA Balance'!$L$174</definedName>
    <definedName name="HarvestEff15" localSheetId="1">'[1]Step 3. FA Balance'!$L$174</definedName>
    <definedName name="HarvestEff15" localSheetId="3">'[1]Step 3. FA Balance'!$L$174</definedName>
    <definedName name="HarvestEff15">'Step 3. FA Balance'!$L$174</definedName>
    <definedName name="HarvestEff16" localSheetId="16">'[1]Step 3. FA Balance'!$L$175</definedName>
    <definedName name="HarvestEff16" localSheetId="6">'[1]Step 3. FA Balance'!$L$175</definedName>
    <definedName name="HarvestEff16" localSheetId="11">'[1]Step 3. FA Balance'!$L$175</definedName>
    <definedName name="HarvestEff16" localSheetId="4">'[1]Step 3. FA Balance'!$L$175</definedName>
    <definedName name="HarvestEff16" localSheetId="9">'[1]Step 3. FA Balance'!$L$175</definedName>
    <definedName name="HarvestEff16" localSheetId="10">'[1]Step 3. FA Balance'!$L$175</definedName>
    <definedName name="HarvestEff16" localSheetId="7">'[1]Step 3. FA Balance'!$L$175</definedName>
    <definedName name="HarvestEff16" localSheetId="8">'[1]Step 3. FA Balance'!$L$175</definedName>
    <definedName name="HarvestEff16" localSheetId="1">'[1]Step 3. FA Balance'!$L$175</definedName>
    <definedName name="HarvestEff16" localSheetId="3">'[1]Step 3. FA Balance'!$L$175</definedName>
    <definedName name="HarvestEff16">'Step 3. FA Balance'!$L$175</definedName>
    <definedName name="HarvestEff17" localSheetId="16">'[1]Step 3. FA Balance'!$L$176</definedName>
    <definedName name="HarvestEff17" localSheetId="6">'[1]Step 3. FA Balance'!$L$176</definedName>
    <definedName name="HarvestEff17" localSheetId="11">'[1]Step 3. FA Balance'!$L$176</definedName>
    <definedName name="HarvestEff17" localSheetId="4">'[1]Step 3. FA Balance'!$L$176</definedName>
    <definedName name="HarvestEff17" localSheetId="9">'[1]Step 3. FA Balance'!$L$176</definedName>
    <definedName name="HarvestEff17" localSheetId="10">'[1]Step 3. FA Balance'!$L$176</definedName>
    <definedName name="HarvestEff17" localSheetId="7">'[1]Step 3. FA Balance'!$L$176</definedName>
    <definedName name="HarvestEff17" localSheetId="8">'[1]Step 3. FA Balance'!$L$176</definedName>
    <definedName name="HarvestEff17" localSheetId="1">'[1]Step 3. FA Balance'!$L$176</definedName>
    <definedName name="HarvestEff17" localSheetId="3">'[1]Step 3. FA Balance'!$L$176</definedName>
    <definedName name="HarvestEff17">'Step 3. FA Balance'!$L$176</definedName>
    <definedName name="HarvestEff18" localSheetId="16">'[1]Step 3. FA Balance'!$L$177</definedName>
    <definedName name="HarvestEff18" localSheetId="6">'[1]Step 3. FA Balance'!$L$177</definedName>
    <definedName name="HarvestEff18" localSheetId="11">'[1]Step 3. FA Balance'!$L$177</definedName>
    <definedName name="HarvestEff18" localSheetId="4">'[1]Step 3. FA Balance'!$L$177</definedName>
    <definedName name="HarvestEff18" localSheetId="9">'[1]Step 3. FA Balance'!$L$177</definedName>
    <definedName name="HarvestEff18" localSheetId="10">'[1]Step 3. FA Balance'!$L$177</definedName>
    <definedName name="HarvestEff18" localSheetId="7">'[1]Step 3. FA Balance'!$L$177</definedName>
    <definedName name="HarvestEff18" localSheetId="8">'[1]Step 3. FA Balance'!$L$177</definedName>
    <definedName name="HarvestEff18" localSheetId="1">'[1]Step 3. FA Balance'!$L$177</definedName>
    <definedName name="HarvestEff18" localSheetId="3">'[1]Step 3. FA Balance'!$L$177</definedName>
    <definedName name="HarvestEff18">'Step 3. FA Balance'!$L$177</definedName>
    <definedName name="HarvestEff19" localSheetId="16">'[1]Step 3. FA Balance'!$L$178</definedName>
    <definedName name="HarvestEff19" localSheetId="6">'[1]Step 3. FA Balance'!$L$178</definedName>
    <definedName name="HarvestEff19" localSheetId="11">'[1]Step 3. FA Balance'!$L$178</definedName>
    <definedName name="HarvestEff19" localSheetId="4">'[1]Step 3. FA Balance'!$L$178</definedName>
    <definedName name="HarvestEff19" localSheetId="9">'[1]Step 3. FA Balance'!$L$178</definedName>
    <definedName name="HarvestEff19" localSheetId="10">'[1]Step 3. FA Balance'!$L$178</definedName>
    <definedName name="HarvestEff19" localSheetId="7">'[1]Step 3. FA Balance'!$L$178</definedName>
    <definedName name="HarvestEff19" localSheetId="8">'[1]Step 3. FA Balance'!$L$178</definedName>
    <definedName name="HarvestEff19" localSheetId="1">'[1]Step 3. FA Balance'!$L$178</definedName>
    <definedName name="HarvestEff19" localSheetId="3">'[1]Step 3. FA Balance'!$L$178</definedName>
    <definedName name="HarvestEff19">'Step 3. FA Balance'!$L$178</definedName>
    <definedName name="HarvestEff2" localSheetId="16">'[1]Step 3. FA Balance'!$L$161</definedName>
    <definedName name="HarvestEff2" localSheetId="6">'[1]Step 3. FA Balance'!$L$161</definedName>
    <definedName name="HarvestEff2" localSheetId="11">'[1]Step 3. FA Balance'!$L$161</definedName>
    <definedName name="HarvestEff2" localSheetId="4">'[1]Step 3. FA Balance'!$L$161</definedName>
    <definedName name="HarvestEff2" localSheetId="9">'[1]Step 3. FA Balance'!$L$161</definedName>
    <definedName name="HarvestEff2" localSheetId="10">'[1]Step 3. FA Balance'!$L$161</definedName>
    <definedName name="HarvestEff2" localSheetId="7">'[1]Step 3. FA Balance'!$L$161</definedName>
    <definedName name="HarvestEff2" localSheetId="8">'[1]Step 3. FA Balance'!$L$161</definedName>
    <definedName name="HarvestEff2" localSheetId="1">'[1]Step 3. FA Balance'!$L$161</definedName>
    <definedName name="HarvestEff2" localSheetId="3">'[1]Step 3. FA Balance'!$L$161</definedName>
    <definedName name="HarvestEff2">'Step 3. FA Balance'!$L$161</definedName>
    <definedName name="HarvestEff20" localSheetId="16">'[1]Step 3. FA Balance'!$L$179</definedName>
    <definedName name="HarvestEff20" localSheetId="6">'[1]Step 3. FA Balance'!$L$179</definedName>
    <definedName name="HarvestEff20" localSheetId="11">'[1]Step 3. FA Balance'!$L$179</definedName>
    <definedName name="HarvestEff20" localSheetId="4">'[1]Step 3. FA Balance'!$L$179</definedName>
    <definedName name="HarvestEff20" localSheetId="9">'[1]Step 3. FA Balance'!$L$179</definedName>
    <definedName name="HarvestEff20" localSheetId="10">'[1]Step 3. FA Balance'!$L$179</definedName>
    <definedName name="HarvestEff20" localSheetId="7">'[1]Step 3. FA Balance'!$L$179</definedName>
    <definedName name="HarvestEff20" localSheetId="8">'[1]Step 3. FA Balance'!$L$179</definedName>
    <definedName name="HarvestEff20" localSheetId="1">'[1]Step 3. FA Balance'!$L$179</definedName>
    <definedName name="HarvestEff20" localSheetId="3">'[1]Step 3. FA Balance'!$L$179</definedName>
    <definedName name="HarvestEff20">'Step 3. FA Balance'!$L$179</definedName>
    <definedName name="HarvestEff21" localSheetId="16">'[1]Step 3. FA Balance'!$L$180</definedName>
    <definedName name="HarvestEff21" localSheetId="6">'[1]Step 3. FA Balance'!$L$180</definedName>
    <definedName name="HarvestEff21" localSheetId="11">'[1]Step 3. FA Balance'!$L$180</definedName>
    <definedName name="HarvestEff21" localSheetId="4">'[1]Step 3. FA Balance'!$L$180</definedName>
    <definedName name="HarvestEff21" localSheetId="9">'[1]Step 3. FA Balance'!$L$180</definedName>
    <definedName name="HarvestEff21" localSheetId="10">'[1]Step 3. FA Balance'!$L$180</definedName>
    <definedName name="HarvestEff21" localSheetId="7">'[1]Step 3. FA Balance'!$L$180</definedName>
    <definedName name="HarvestEff21" localSheetId="8">'[1]Step 3. FA Balance'!$L$180</definedName>
    <definedName name="HarvestEff21" localSheetId="1">'[1]Step 3. FA Balance'!$L$180</definedName>
    <definedName name="HarvestEff21" localSheetId="3">'[1]Step 3. FA Balance'!$L$180</definedName>
    <definedName name="HarvestEff21">'Step 3. FA Balance'!$L$180</definedName>
    <definedName name="HarvestEff22" localSheetId="16">'[1]Step 3. FA Balance'!$L$181</definedName>
    <definedName name="HarvestEff22" localSheetId="6">'[1]Step 3. FA Balance'!$L$181</definedName>
    <definedName name="HarvestEff22" localSheetId="11">'[1]Step 3. FA Balance'!$L$181</definedName>
    <definedName name="HarvestEff22" localSheetId="4">'[1]Step 3. FA Balance'!$L$181</definedName>
    <definedName name="HarvestEff22" localSheetId="9">'[1]Step 3. FA Balance'!$L$181</definedName>
    <definedName name="HarvestEff22" localSheetId="10">'[1]Step 3. FA Balance'!$L$181</definedName>
    <definedName name="HarvestEff22" localSheetId="7">'[1]Step 3. FA Balance'!$L$181</definedName>
    <definedName name="HarvestEff22" localSheetId="8">'[1]Step 3. FA Balance'!$L$181</definedName>
    <definedName name="HarvestEff22" localSheetId="1">'[1]Step 3. FA Balance'!$L$181</definedName>
    <definedName name="HarvestEff22" localSheetId="3">'[1]Step 3. FA Balance'!$L$181</definedName>
    <definedName name="HarvestEff22">'Step 3. FA Balance'!$L$181</definedName>
    <definedName name="HarvestEff23" localSheetId="16">'[1]Step 3. FA Balance'!$L$182</definedName>
    <definedName name="HarvestEff23" localSheetId="6">'[1]Step 3. FA Balance'!$L$182</definedName>
    <definedName name="HarvestEff23" localSheetId="11">'[1]Step 3. FA Balance'!$L$182</definedName>
    <definedName name="HarvestEff23" localSheetId="4">'[1]Step 3. FA Balance'!$L$182</definedName>
    <definedName name="HarvestEff23" localSheetId="9">'[1]Step 3. FA Balance'!$L$182</definedName>
    <definedName name="HarvestEff23" localSheetId="10">'[1]Step 3. FA Balance'!$L$182</definedName>
    <definedName name="HarvestEff23" localSheetId="7">'[1]Step 3. FA Balance'!$L$182</definedName>
    <definedName name="HarvestEff23" localSheetId="8">'[1]Step 3. FA Balance'!$L$182</definedName>
    <definedName name="HarvestEff23" localSheetId="1">'[1]Step 3. FA Balance'!$L$182</definedName>
    <definedName name="HarvestEff23" localSheetId="3">'[1]Step 3. FA Balance'!$L$182</definedName>
    <definedName name="HarvestEff23">'Step 3. FA Balance'!$L$182</definedName>
    <definedName name="HarvestEff24" localSheetId="16">'[1]Step 3. FA Balance'!$L$183</definedName>
    <definedName name="HarvestEff24" localSheetId="6">'[1]Step 3. FA Balance'!$L$183</definedName>
    <definedName name="HarvestEff24" localSheetId="11">'[1]Step 3. FA Balance'!$L$183</definedName>
    <definedName name="HarvestEff24" localSheetId="4">'[1]Step 3. FA Balance'!$L$183</definedName>
    <definedName name="HarvestEff24" localSheetId="9">'[1]Step 3. FA Balance'!$L$183</definedName>
    <definedName name="HarvestEff24" localSheetId="10">'[1]Step 3. FA Balance'!$L$183</definedName>
    <definedName name="HarvestEff24" localSheetId="7">'[1]Step 3. FA Balance'!$L$183</definedName>
    <definedName name="HarvestEff24" localSheetId="8">'[1]Step 3. FA Balance'!$L$183</definedName>
    <definedName name="HarvestEff24" localSheetId="1">'[1]Step 3. FA Balance'!$L$183</definedName>
    <definedName name="HarvestEff24" localSheetId="3">'[1]Step 3. FA Balance'!$L$183</definedName>
    <definedName name="HarvestEff24">'Step 3. FA Balance'!$L$183</definedName>
    <definedName name="HarvestEff3" localSheetId="16">'[1]Step 3. FA Balance'!$L$162</definedName>
    <definedName name="HarvestEff3" localSheetId="6">'[1]Step 3. FA Balance'!$L$162</definedName>
    <definedName name="HarvestEff3" localSheetId="11">'[1]Step 3. FA Balance'!$L$162</definedName>
    <definedName name="HarvestEff3" localSheetId="4">'[1]Step 3. FA Balance'!$L$162</definedName>
    <definedName name="HarvestEff3" localSheetId="9">'[1]Step 3. FA Balance'!$L$162</definedName>
    <definedName name="HarvestEff3" localSheetId="10">'[1]Step 3. FA Balance'!$L$162</definedName>
    <definedName name="HarvestEff3" localSheetId="7">'[1]Step 3. FA Balance'!$L$162</definedName>
    <definedName name="HarvestEff3" localSheetId="8">'[1]Step 3. FA Balance'!$L$162</definedName>
    <definedName name="HarvestEff3" localSheetId="1">'[1]Step 3. FA Balance'!$L$162</definedName>
    <definedName name="HarvestEff3" localSheetId="3">'[1]Step 3. FA Balance'!$L$162</definedName>
    <definedName name="HarvestEff3">'Step 3. FA Balance'!$L$162</definedName>
    <definedName name="HarvestEff4" localSheetId="16">'[1]Step 3. FA Balance'!$L$163</definedName>
    <definedName name="HarvestEff4" localSheetId="6">'[1]Step 3. FA Balance'!$L$163</definedName>
    <definedName name="HarvestEff4" localSheetId="11">'[1]Step 3. FA Balance'!$L$163</definedName>
    <definedName name="HarvestEff4" localSheetId="4">'[1]Step 3. FA Balance'!$L$163</definedName>
    <definedName name="HarvestEff4" localSheetId="9">'[1]Step 3. FA Balance'!$L$163</definedName>
    <definedName name="HarvestEff4" localSheetId="10">'[1]Step 3. FA Balance'!$L$163</definedName>
    <definedName name="HarvestEff4" localSheetId="7">'[1]Step 3. FA Balance'!$L$163</definedName>
    <definedName name="HarvestEff4" localSheetId="8">'[1]Step 3. FA Balance'!$L$163</definedName>
    <definedName name="HarvestEff4" localSheetId="1">'[1]Step 3. FA Balance'!$L$163</definedName>
    <definedName name="HarvestEff4" localSheetId="3">'[1]Step 3. FA Balance'!$L$163</definedName>
    <definedName name="HarvestEff4">'Step 3. FA Balance'!$L$163</definedName>
    <definedName name="HarvestEff5" localSheetId="16">'[1]Step 3. FA Balance'!$L$164</definedName>
    <definedName name="HarvestEff5" localSheetId="6">'[1]Step 3. FA Balance'!$L$164</definedName>
    <definedName name="HarvestEff5" localSheetId="11">'[1]Step 3. FA Balance'!$L$164</definedName>
    <definedName name="HarvestEff5" localSheetId="4">'[1]Step 3. FA Balance'!$L$164</definedName>
    <definedName name="HarvestEff5" localSheetId="9">'[1]Step 3. FA Balance'!$L$164</definedName>
    <definedName name="HarvestEff5" localSheetId="10">'[1]Step 3. FA Balance'!$L$164</definedName>
    <definedName name="HarvestEff5" localSheetId="7">'[1]Step 3. FA Balance'!$L$164</definedName>
    <definedName name="HarvestEff5" localSheetId="8">'[1]Step 3. FA Balance'!$L$164</definedName>
    <definedName name="HarvestEff5" localSheetId="1">'[1]Step 3. FA Balance'!$L$164</definedName>
    <definedName name="HarvestEff5" localSheetId="3">'[1]Step 3. FA Balance'!$L$164</definedName>
    <definedName name="HarvestEff5">'Step 3. FA Balance'!$L$164</definedName>
    <definedName name="HarvestEff6" localSheetId="16">'[1]Step 3. FA Balance'!$L$165</definedName>
    <definedName name="HarvestEff6" localSheetId="6">'[1]Step 3. FA Balance'!$L$165</definedName>
    <definedName name="HarvestEff6" localSheetId="11">'[1]Step 3. FA Balance'!$L$165</definedName>
    <definedName name="HarvestEff6" localSheetId="4">'[1]Step 3. FA Balance'!$L$165</definedName>
    <definedName name="HarvestEff6" localSheetId="9">'[1]Step 3. FA Balance'!$L$165</definedName>
    <definedName name="HarvestEff6" localSheetId="10">'[1]Step 3. FA Balance'!$L$165</definedName>
    <definedName name="HarvestEff6" localSheetId="7">'[1]Step 3. FA Balance'!$L$165</definedName>
    <definedName name="HarvestEff6" localSheetId="8">'[1]Step 3. FA Balance'!$L$165</definedName>
    <definedName name="HarvestEff6" localSheetId="1">'[1]Step 3. FA Balance'!$L$165</definedName>
    <definedName name="HarvestEff6" localSheetId="3">'[1]Step 3. FA Balance'!$L$165</definedName>
    <definedName name="HarvestEff6">'Step 3. FA Balance'!$L$165</definedName>
    <definedName name="HarvestEff7" localSheetId="16">'[1]Step 3. FA Balance'!$L$166</definedName>
    <definedName name="HarvestEff7" localSheetId="6">'[1]Step 3. FA Balance'!$L$166</definedName>
    <definedName name="HarvestEff7" localSheetId="11">'[1]Step 3. FA Balance'!$L$166</definedName>
    <definedName name="HarvestEff7" localSheetId="4">'[1]Step 3. FA Balance'!$L$166</definedName>
    <definedName name="HarvestEff7" localSheetId="9">'[1]Step 3. FA Balance'!$L$166</definedName>
    <definedName name="HarvestEff7" localSheetId="10">'[1]Step 3. FA Balance'!$L$166</definedName>
    <definedName name="HarvestEff7" localSheetId="7">'[1]Step 3. FA Balance'!$L$166</definedName>
    <definedName name="HarvestEff7" localSheetId="8">'[1]Step 3. FA Balance'!$L$166</definedName>
    <definedName name="HarvestEff7" localSheetId="1">'[1]Step 3. FA Balance'!$L$166</definedName>
    <definedName name="HarvestEff7" localSheetId="3">'[1]Step 3. FA Balance'!$L$166</definedName>
    <definedName name="HarvestEff7">'Step 3. FA Balance'!$L$166</definedName>
    <definedName name="HarvestEff8" localSheetId="16">'[1]Step 3. FA Balance'!$L$167</definedName>
    <definedName name="HarvestEff8" localSheetId="6">'[1]Step 3. FA Balance'!$L$167</definedName>
    <definedName name="HarvestEff8" localSheetId="11">'[1]Step 3. FA Balance'!$L$167</definedName>
    <definedName name="HarvestEff8" localSheetId="4">'[1]Step 3. FA Balance'!$L$167</definedName>
    <definedName name="HarvestEff8" localSheetId="9">'[1]Step 3. FA Balance'!$L$167</definedName>
    <definedName name="HarvestEff8" localSheetId="10">'[1]Step 3. FA Balance'!$L$167</definedName>
    <definedName name="HarvestEff8" localSheetId="7">'[1]Step 3. FA Balance'!$L$167</definedName>
    <definedName name="HarvestEff8" localSheetId="8">'[1]Step 3. FA Balance'!$L$167</definedName>
    <definedName name="HarvestEff8" localSheetId="1">'[1]Step 3. FA Balance'!$L$167</definedName>
    <definedName name="HarvestEff8" localSheetId="3">'[1]Step 3. FA Balance'!$L$167</definedName>
    <definedName name="HarvestEff8">'Step 3. FA Balance'!$L$167</definedName>
    <definedName name="HarvestEff9" localSheetId="16">'[1]Step 3. FA Balance'!$L$168</definedName>
    <definedName name="HarvestEff9" localSheetId="6">'[1]Step 3. FA Balance'!$L$168</definedName>
    <definedName name="HarvestEff9" localSheetId="11">'[1]Step 3. FA Balance'!$L$168</definedName>
    <definedName name="HarvestEff9" localSheetId="4">'[1]Step 3. FA Balance'!$L$168</definedName>
    <definedName name="HarvestEff9" localSheetId="9">'[1]Step 3. FA Balance'!$L$168</definedName>
    <definedName name="HarvestEff9" localSheetId="10">'[1]Step 3. FA Balance'!$L$168</definedName>
    <definedName name="HarvestEff9" localSheetId="7">'[1]Step 3. FA Balance'!$L$168</definedName>
    <definedName name="HarvestEff9" localSheetId="8">'[1]Step 3. FA Balance'!$L$168</definedName>
    <definedName name="HarvestEff9" localSheetId="1">'[1]Step 3. FA Balance'!$L$168</definedName>
    <definedName name="HarvestEff9" localSheetId="3">'[1]Step 3. FA Balance'!$L$168</definedName>
    <definedName name="HarvestEff9">'Step 3. FA Balance'!$L$168</definedName>
    <definedName name="HAY">HayList!$A$5:$B$53</definedName>
    <definedName name="HayList">HayList!$A$5:$A$53</definedName>
    <definedName name="HayMonth1" localSheetId="16">[1]AnimalDemandCalculation!$K$60</definedName>
    <definedName name="HayMonth1" localSheetId="6">[1]AnimalDemandCalculation!$K$60</definedName>
    <definedName name="HayMonth1" localSheetId="11">[1]AnimalDemandCalculation!$K$60</definedName>
    <definedName name="HayMonth1" localSheetId="4">[1]AnimalDemandCalculation!$K$60</definedName>
    <definedName name="HayMonth1" localSheetId="9">[1]AnimalDemandCalculation!$K$60</definedName>
    <definedName name="HayMonth1" localSheetId="10">[1]AnimalDemandCalculation!$K$60</definedName>
    <definedName name="HayMonth1" localSheetId="7">[1]AnimalDemandCalculation!$K$60</definedName>
    <definedName name="HayMonth1" localSheetId="8">[1]AnimalDemandCalculation!$K$60</definedName>
    <definedName name="HayMonth1" localSheetId="1">[1]AnimalDemandCalculation!$K$60</definedName>
    <definedName name="HayMonth1" localSheetId="3">[1]AnimalDemandCalculation!$K$60</definedName>
    <definedName name="HayMonth1">Calculations!$K$60</definedName>
    <definedName name="HayMonth10" localSheetId="16">[1]AnimalDemandCalculation!$K$69</definedName>
    <definedName name="HayMonth10" localSheetId="6">[1]AnimalDemandCalculation!$K$69</definedName>
    <definedName name="HayMonth10" localSheetId="11">[1]AnimalDemandCalculation!$K$69</definedName>
    <definedName name="HayMonth10" localSheetId="4">[1]AnimalDemandCalculation!$K$69</definedName>
    <definedName name="HayMonth10" localSheetId="9">[1]AnimalDemandCalculation!$K$69</definedName>
    <definedName name="HayMonth10" localSheetId="10">[1]AnimalDemandCalculation!$K$69</definedName>
    <definedName name="HayMonth10" localSheetId="7">[1]AnimalDemandCalculation!$K$69</definedName>
    <definedName name="HayMonth10" localSheetId="8">[1]AnimalDemandCalculation!$K$69</definedName>
    <definedName name="HayMonth10" localSheetId="1">[1]AnimalDemandCalculation!$K$69</definedName>
    <definedName name="HayMonth10" localSheetId="3">[1]AnimalDemandCalculation!$K$69</definedName>
    <definedName name="HayMonth10">Calculations!$K$69</definedName>
    <definedName name="HayMonth11" localSheetId="16">[1]AnimalDemandCalculation!$K$70</definedName>
    <definedName name="HayMonth11" localSheetId="6">[1]AnimalDemandCalculation!$K$70</definedName>
    <definedName name="HayMonth11" localSheetId="11">[1]AnimalDemandCalculation!$K$70</definedName>
    <definedName name="HayMonth11" localSheetId="4">[1]AnimalDemandCalculation!$K$70</definedName>
    <definedName name="HayMonth11" localSheetId="9">[1]AnimalDemandCalculation!$K$70</definedName>
    <definedName name="HayMonth11" localSheetId="10">[1]AnimalDemandCalculation!$K$70</definedName>
    <definedName name="HayMonth11" localSheetId="7">[1]AnimalDemandCalculation!$K$70</definedName>
    <definedName name="HayMonth11" localSheetId="8">[1]AnimalDemandCalculation!$K$70</definedName>
    <definedName name="HayMonth11" localSheetId="1">[1]AnimalDemandCalculation!$K$70</definedName>
    <definedName name="HayMonth11" localSheetId="3">[1]AnimalDemandCalculation!$K$70</definedName>
    <definedName name="HayMonth11">Calculations!$K$70</definedName>
    <definedName name="HayMonth12" localSheetId="16">[1]AnimalDemandCalculation!$K$71</definedName>
    <definedName name="HayMonth12" localSheetId="6">[1]AnimalDemandCalculation!$K$71</definedName>
    <definedName name="HayMonth12" localSheetId="11">[1]AnimalDemandCalculation!$K$71</definedName>
    <definedName name="HayMonth12" localSheetId="4">[1]AnimalDemandCalculation!$K$71</definedName>
    <definedName name="HayMonth12" localSheetId="9">[1]AnimalDemandCalculation!$K$71</definedName>
    <definedName name="HayMonth12" localSheetId="10">[1]AnimalDemandCalculation!$K$71</definedName>
    <definedName name="HayMonth12" localSheetId="7">[1]AnimalDemandCalculation!$K$71</definedName>
    <definedName name="HayMonth12" localSheetId="8">[1]AnimalDemandCalculation!$K$71</definedName>
    <definedName name="HayMonth12" localSheetId="1">[1]AnimalDemandCalculation!$K$71</definedName>
    <definedName name="HayMonth12" localSheetId="3">[1]AnimalDemandCalculation!$K$71</definedName>
    <definedName name="HayMonth12">Calculations!$K$71</definedName>
    <definedName name="HayMonth13" localSheetId="16">[1]AnimalDemandCalculation!$K$72</definedName>
    <definedName name="HayMonth13" localSheetId="6">[1]AnimalDemandCalculation!$K$72</definedName>
    <definedName name="HayMonth13" localSheetId="11">[1]AnimalDemandCalculation!$K$72</definedName>
    <definedName name="HayMonth13" localSheetId="4">[1]AnimalDemandCalculation!$K$72</definedName>
    <definedName name="HayMonth13" localSheetId="9">[1]AnimalDemandCalculation!$K$72</definedName>
    <definedName name="HayMonth13" localSheetId="10">[1]AnimalDemandCalculation!$K$72</definedName>
    <definedName name="HayMonth13" localSheetId="7">[1]AnimalDemandCalculation!$K$72</definedName>
    <definedName name="HayMonth13" localSheetId="8">[1]AnimalDemandCalculation!$K$72</definedName>
    <definedName name="HayMonth13" localSheetId="1">[1]AnimalDemandCalculation!$K$72</definedName>
    <definedName name="HayMonth13" localSheetId="3">[1]AnimalDemandCalculation!$K$72</definedName>
    <definedName name="HayMonth13">Calculations!$K$72</definedName>
    <definedName name="HayMonth14" localSheetId="16">[1]AnimalDemandCalculation!$K$73</definedName>
    <definedName name="HayMonth14" localSheetId="6">[1]AnimalDemandCalculation!$K$73</definedName>
    <definedName name="HayMonth14" localSheetId="11">[1]AnimalDemandCalculation!$K$73</definedName>
    <definedName name="HayMonth14" localSheetId="4">[1]AnimalDemandCalculation!$K$73</definedName>
    <definedName name="HayMonth14" localSheetId="9">[1]AnimalDemandCalculation!$K$73</definedName>
    <definedName name="HayMonth14" localSheetId="10">[1]AnimalDemandCalculation!$K$73</definedName>
    <definedName name="HayMonth14" localSheetId="7">[1]AnimalDemandCalculation!$K$73</definedName>
    <definedName name="HayMonth14" localSheetId="8">[1]AnimalDemandCalculation!$K$73</definedName>
    <definedName name="HayMonth14" localSheetId="1">[1]AnimalDemandCalculation!$K$73</definedName>
    <definedName name="HayMonth14" localSheetId="3">[1]AnimalDemandCalculation!$K$73</definedName>
    <definedName name="HayMonth14">Calculations!$K$73</definedName>
    <definedName name="HayMonth15" localSheetId="16">[1]AnimalDemandCalculation!$K$74</definedName>
    <definedName name="HayMonth15" localSheetId="6">[1]AnimalDemandCalculation!$K$74</definedName>
    <definedName name="HayMonth15" localSheetId="11">[1]AnimalDemandCalculation!$K$74</definedName>
    <definedName name="HayMonth15" localSheetId="4">[1]AnimalDemandCalculation!$K$74</definedName>
    <definedName name="HayMonth15" localSheetId="9">[1]AnimalDemandCalculation!$K$74</definedName>
    <definedName name="HayMonth15" localSheetId="10">[1]AnimalDemandCalculation!$K$74</definedName>
    <definedName name="HayMonth15" localSheetId="7">[1]AnimalDemandCalculation!$K$74</definedName>
    <definedName name="HayMonth15" localSheetId="8">[1]AnimalDemandCalculation!$K$74</definedName>
    <definedName name="HayMonth15" localSheetId="1">[1]AnimalDemandCalculation!$K$74</definedName>
    <definedName name="HayMonth15" localSheetId="3">[1]AnimalDemandCalculation!$K$74</definedName>
    <definedName name="HayMonth15">Calculations!$K$74</definedName>
    <definedName name="HayMonth16" localSheetId="16">[1]AnimalDemandCalculation!$K$75</definedName>
    <definedName name="HayMonth16" localSheetId="6">[1]AnimalDemandCalculation!$K$75</definedName>
    <definedName name="HayMonth16" localSheetId="11">[1]AnimalDemandCalculation!$K$75</definedName>
    <definedName name="HayMonth16" localSheetId="4">[1]AnimalDemandCalculation!$K$75</definedName>
    <definedName name="HayMonth16" localSheetId="9">[1]AnimalDemandCalculation!$K$75</definedName>
    <definedName name="HayMonth16" localSheetId="10">[1]AnimalDemandCalculation!$K$75</definedName>
    <definedName name="HayMonth16" localSheetId="7">[1]AnimalDemandCalculation!$K$75</definedName>
    <definedName name="HayMonth16" localSheetId="8">[1]AnimalDemandCalculation!$K$75</definedName>
    <definedName name="HayMonth16" localSheetId="1">[1]AnimalDemandCalculation!$K$75</definedName>
    <definedName name="HayMonth16" localSheetId="3">[1]AnimalDemandCalculation!$K$75</definedName>
    <definedName name="HayMonth16">Calculations!$K$75</definedName>
    <definedName name="HayMonth17" localSheetId="16">[1]AnimalDemandCalculation!$K$76</definedName>
    <definedName name="HayMonth17" localSheetId="6">[1]AnimalDemandCalculation!$K$76</definedName>
    <definedName name="HayMonth17" localSheetId="11">[1]AnimalDemandCalculation!$K$76</definedName>
    <definedName name="HayMonth17" localSheetId="4">[1]AnimalDemandCalculation!$K$76</definedName>
    <definedName name="HayMonth17" localSheetId="9">[1]AnimalDemandCalculation!$K$76</definedName>
    <definedName name="HayMonth17" localSheetId="10">[1]AnimalDemandCalculation!$K$76</definedName>
    <definedName name="HayMonth17" localSheetId="7">[1]AnimalDemandCalculation!$K$76</definedName>
    <definedName name="HayMonth17" localSheetId="8">[1]AnimalDemandCalculation!$K$76</definedName>
    <definedName name="HayMonth17" localSheetId="1">[1]AnimalDemandCalculation!$K$76</definedName>
    <definedName name="HayMonth17" localSheetId="3">[1]AnimalDemandCalculation!$K$76</definedName>
    <definedName name="HayMonth17">Calculations!$K$76</definedName>
    <definedName name="HayMonth18" localSheetId="16">[1]AnimalDemandCalculation!$K$77</definedName>
    <definedName name="HayMonth18" localSheetId="6">[1]AnimalDemandCalculation!$K$77</definedName>
    <definedName name="HayMonth18" localSheetId="11">[1]AnimalDemandCalculation!$K$77</definedName>
    <definedName name="HayMonth18" localSheetId="4">[1]AnimalDemandCalculation!$K$77</definedName>
    <definedName name="HayMonth18" localSheetId="9">[1]AnimalDemandCalculation!$K$77</definedName>
    <definedName name="HayMonth18" localSheetId="10">[1]AnimalDemandCalculation!$K$77</definedName>
    <definedName name="HayMonth18" localSheetId="7">[1]AnimalDemandCalculation!$K$77</definedName>
    <definedName name="HayMonth18" localSheetId="8">[1]AnimalDemandCalculation!$K$77</definedName>
    <definedName name="HayMonth18" localSheetId="1">[1]AnimalDemandCalculation!$K$77</definedName>
    <definedName name="HayMonth18" localSheetId="3">[1]AnimalDemandCalculation!$K$77</definedName>
    <definedName name="HayMonth18">Calculations!$K$77</definedName>
    <definedName name="HayMonth19" localSheetId="16">[1]AnimalDemandCalculation!$K$78</definedName>
    <definedName name="HayMonth19" localSheetId="6">[1]AnimalDemandCalculation!$K$78</definedName>
    <definedName name="HayMonth19" localSheetId="11">[1]AnimalDemandCalculation!$K$78</definedName>
    <definedName name="HayMonth19" localSheetId="4">[1]AnimalDemandCalculation!$K$78</definedName>
    <definedName name="HayMonth19" localSheetId="9">[1]AnimalDemandCalculation!$K$78</definedName>
    <definedName name="HayMonth19" localSheetId="10">[1]AnimalDemandCalculation!$K$78</definedName>
    <definedName name="HayMonth19" localSheetId="7">[1]AnimalDemandCalculation!$K$78</definedName>
    <definedName name="HayMonth19" localSheetId="8">[1]AnimalDemandCalculation!$K$78</definedName>
    <definedName name="HayMonth19" localSheetId="1">[1]AnimalDemandCalculation!$K$78</definedName>
    <definedName name="HayMonth19" localSheetId="3">[1]AnimalDemandCalculation!$K$78</definedName>
    <definedName name="HayMonth19">Calculations!$K$78</definedName>
    <definedName name="HayMonth2" localSheetId="16">[1]AnimalDemandCalculation!$K$61</definedName>
    <definedName name="HayMonth2" localSheetId="6">[1]AnimalDemandCalculation!$K$61</definedName>
    <definedName name="HayMonth2" localSheetId="11">[1]AnimalDemandCalculation!$K$61</definedName>
    <definedName name="HayMonth2" localSheetId="4">[1]AnimalDemandCalculation!$K$61</definedName>
    <definedName name="HayMonth2" localSheetId="9">[1]AnimalDemandCalculation!$K$61</definedName>
    <definedName name="HayMonth2" localSheetId="10">[1]AnimalDemandCalculation!$K$61</definedName>
    <definedName name="HayMonth2" localSheetId="7">[1]AnimalDemandCalculation!$K$61</definedName>
    <definedName name="HayMonth2" localSheetId="8">[1]AnimalDemandCalculation!$K$61</definedName>
    <definedName name="HayMonth2" localSheetId="1">[1]AnimalDemandCalculation!$K$61</definedName>
    <definedName name="HayMonth2" localSheetId="3">[1]AnimalDemandCalculation!$K$61</definedName>
    <definedName name="HayMonth2">Calculations!$K$61</definedName>
    <definedName name="HayMonth20" localSheetId="16">[1]AnimalDemandCalculation!$K$79</definedName>
    <definedName name="HayMonth20" localSheetId="6">[1]AnimalDemandCalculation!$K$79</definedName>
    <definedName name="HayMonth20" localSheetId="11">[1]AnimalDemandCalculation!$K$79</definedName>
    <definedName name="HayMonth20" localSheetId="4">[1]AnimalDemandCalculation!$K$79</definedName>
    <definedName name="HayMonth20" localSheetId="9">[1]AnimalDemandCalculation!$K$79</definedName>
    <definedName name="HayMonth20" localSheetId="10">[1]AnimalDemandCalculation!$K$79</definedName>
    <definedName name="HayMonth20" localSheetId="7">[1]AnimalDemandCalculation!$K$79</definedName>
    <definedName name="HayMonth20" localSheetId="8">[1]AnimalDemandCalculation!$K$79</definedName>
    <definedName name="HayMonth20" localSheetId="1">[1]AnimalDemandCalculation!$K$79</definedName>
    <definedName name="HayMonth20" localSheetId="3">[1]AnimalDemandCalculation!$K$79</definedName>
    <definedName name="HayMonth20">Calculations!$K$79</definedName>
    <definedName name="HayMonth21" localSheetId="16">[1]AnimalDemandCalculation!$K$80</definedName>
    <definedName name="HayMonth21" localSheetId="6">[1]AnimalDemandCalculation!$K$80</definedName>
    <definedName name="HayMonth21" localSheetId="11">[1]AnimalDemandCalculation!$K$80</definedName>
    <definedName name="HayMonth21" localSheetId="4">[1]AnimalDemandCalculation!$K$80</definedName>
    <definedName name="HayMonth21" localSheetId="9">[1]AnimalDemandCalculation!$K$80</definedName>
    <definedName name="HayMonth21" localSheetId="10">[1]AnimalDemandCalculation!$K$80</definedName>
    <definedName name="HayMonth21" localSheetId="7">[1]AnimalDemandCalculation!$K$80</definedName>
    <definedName name="HayMonth21" localSheetId="8">[1]AnimalDemandCalculation!$K$80</definedName>
    <definedName name="HayMonth21" localSheetId="1">[1]AnimalDemandCalculation!$K$80</definedName>
    <definedName name="HayMonth21" localSheetId="3">[1]AnimalDemandCalculation!$K$80</definedName>
    <definedName name="HayMonth21">Calculations!$K$80</definedName>
    <definedName name="HayMonth22" localSheetId="16">[1]AnimalDemandCalculation!$K$81</definedName>
    <definedName name="HayMonth22" localSheetId="6">[1]AnimalDemandCalculation!$K$81</definedName>
    <definedName name="HayMonth22" localSheetId="11">[1]AnimalDemandCalculation!$K$81</definedName>
    <definedName name="HayMonth22" localSheetId="4">[1]AnimalDemandCalculation!$K$81</definedName>
    <definedName name="HayMonth22" localSheetId="9">[1]AnimalDemandCalculation!$K$81</definedName>
    <definedName name="HayMonth22" localSheetId="10">[1]AnimalDemandCalculation!$K$81</definedName>
    <definedName name="HayMonth22" localSheetId="7">[1]AnimalDemandCalculation!$K$81</definedName>
    <definedName name="HayMonth22" localSheetId="8">[1]AnimalDemandCalculation!$K$81</definedName>
    <definedName name="HayMonth22" localSheetId="1">[1]AnimalDemandCalculation!$K$81</definedName>
    <definedName name="HayMonth22" localSheetId="3">[1]AnimalDemandCalculation!$K$81</definedName>
    <definedName name="HayMonth22">Calculations!$K$81</definedName>
    <definedName name="HayMonth23" localSheetId="16">[1]AnimalDemandCalculation!$K$82</definedName>
    <definedName name="HayMonth23" localSheetId="6">[1]AnimalDemandCalculation!$K$82</definedName>
    <definedName name="HayMonth23" localSheetId="11">[1]AnimalDemandCalculation!$K$82</definedName>
    <definedName name="HayMonth23" localSheetId="4">[1]AnimalDemandCalculation!$K$82</definedName>
    <definedName name="HayMonth23" localSheetId="9">[1]AnimalDemandCalculation!$K$82</definedName>
    <definedName name="HayMonth23" localSheetId="10">[1]AnimalDemandCalculation!$K$82</definedName>
    <definedName name="HayMonth23" localSheetId="7">[1]AnimalDemandCalculation!$K$82</definedName>
    <definedName name="HayMonth23" localSheetId="8">[1]AnimalDemandCalculation!$K$82</definedName>
    <definedName name="HayMonth23" localSheetId="1">[1]AnimalDemandCalculation!$K$82</definedName>
    <definedName name="HayMonth23" localSheetId="3">[1]AnimalDemandCalculation!$K$82</definedName>
    <definedName name="HayMonth23">Calculations!$K$82</definedName>
    <definedName name="HayMonth24" localSheetId="16">[1]AnimalDemandCalculation!$K$83</definedName>
    <definedName name="HayMonth24" localSheetId="6">[1]AnimalDemandCalculation!$K$83</definedName>
    <definedName name="HayMonth24" localSheetId="11">[1]AnimalDemandCalculation!$K$83</definedName>
    <definedName name="HayMonth24" localSheetId="4">[1]AnimalDemandCalculation!$K$83</definedName>
    <definedName name="HayMonth24" localSheetId="9">[1]AnimalDemandCalculation!$K$83</definedName>
    <definedName name="HayMonth24" localSheetId="10">[1]AnimalDemandCalculation!$K$83</definedName>
    <definedName name="HayMonth24" localSheetId="7">[1]AnimalDemandCalculation!$K$83</definedName>
    <definedName name="HayMonth24" localSheetId="8">[1]AnimalDemandCalculation!$K$83</definedName>
    <definedName name="HayMonth24" localSheetId="1">[1]AnimalDemandCalculation!$K$83</definedName>
    <definedName name="HayMonth24" localSheetId="3">[1]AnimalDemandCalculation!$K$83</definedName>
    <definedName name="HayMonth24">Calculations!$K$83</definedName>
    <definedName name="HayMonth3" localSheetId="16">[1]AnimalDemandCalculation!$K$62</definedName>
    <definedName name="HayMonth3" localSheetId="6">[1]AnimalDemandCalculation!$K$62</definedName>
    <definedName name="HayMonth3" localSheetId="11">[1]AnimalDemandCalculation!$K$62</definedName>
    <definedName name="HayMonth3" localSheetId="4">[1]AnimalDemandCalculation!$K$62</definedName>
    <definedName name="HayMonth3" localSheetId="9">[1]AnimalDemandCalculation!$K$62</definedName>
    <definedName name="HayMonth3" localSheetId="10">[1]AnimalDemandCalculation!$K$62</definedName>
    <definedName name="HayMonth3" localSheetId="7">[1]AnimalDemandCalculation!$K$62</definedName>
    <definedName name="HayMonth3" localSheetId="8">[1]AnimalDemandCalculation!$K$62</definedName>
    <definedName name="HayMonth3" localSheetId="1">[1]AnimalDemandCalculation!$K$62</definedName>
    <definedName name="HayMonth3" localSheetId="3">[1]AnimalDemandCalculation!$K$62</definedName>
    <definedName name="HayMonth3">Calculations!$K$62</definedName>
    <definedName name="HayMonth4" localSheetId="16">[1]AnimalDemandCalculation!$K$63</definedName>
    <definedName name="HayMonth4" localSheetId="6">[1]AnimalDemandCalculation!$K$63</definedName>
    <definedName name="HayMonth4" localSheetId="11">[1]AnimalDemandCalculation!$K$63</definedName>
    <definedName name="HayMonth4" localSheetId="4">[1]AnimalDemandCalculation!$K$63</definedName>
    <definedName name="HayMonth4" localSheetId="9">[1]AnimalDemandCalculation!$K$63</definedName>
    <definedName name="HayMonth4" localSheetId="10">[1]AnimalDemandCalculation!$K$63</definedName>
    <definedName name="HayMonth4" localSheetId="7">[1]AnimalDemandCalculation!$K$63</definedName>
    <definedName name="HayMonth4" localSheetId="8">[1]AnimalDemandCalculation!$K$63</definedName>
    <definedName name="HayMonth4" localSheetId="1">[1]AnimalDemandCalculation!$K$63</definedName>
    <definedName name="HayMonth4" localSheetId="3">[1]AnimalDemandCalculation!$K$63</definedName>
    <definedName name="HayMonth4">Calculations!$K$63</definedName>
    <definedName name="HayMonth5" localSheetId="16">[1]AnimalDemandCalculation!$K$64</definedName>
    <definedName name="HayMonth5" localSheetId="6">[1]AnimalDemandCalculation!$K$64</definedName>
    <definedName name="HayMonth5" localSheetId="11">[1]AnimalDemandCalculation!$K$64</definedName>
    <definedName name="HayMonth5" localSheetId="4">[1]AnimalDemandCalculation!$K$64</definedName>
    <definedName name="HayMonth5" localSheetId="9">[1]AnimalDemandCalculation!$K$64</definedName>
    <definedName name="HayMonth5" localSheetId="10">[1]AnimalDemandCalculation!$K$64</definedName>
    <definedName name="HayMonth5" localSheetId="7">[1]AnimalDemandCalculation!$K$64</definedName>
    <definedName name="HayMonth5" localSheetId="8">[1]AnimalDemandCalculation!$K$64</definedName>
    <definedName name="HayMonth5" localSheetId="1">[1]AnimalDemandCalculation!$K$64</definedName>
    <definedName name="HayMonth5" localSheetId="3">[1]AnimalDemandCalculation!$K$64</definedName>
    <definedName name="HayMonth5">Calculations!$K$64</definedName>
    <definedName name="HayMonth6" localSheetId="16">[1]AnimalDemandCalculation!$K$65</definedName>
    <definedName name="HayMonth6" localSheetId="6">[1]AnimalDemandCalculation!$K$65</definedName>
    <definedName name="HayMonth6" localSheetId="11">[1]AnimalDemandCalculation!$K$65</definedName>
    <definedName name="HayMonth6" localSheetId="4">[1]AnimalDemandCalculation!$K$65</definedName>
    <definedName name="HayMonth6" localSheetId="9">[1]AnimalDemandCalculation!$K$65</definedName>
    <definedName name="HayMonth6" localSheetId="10">[1]AnimalDemandCalculation!$K$65</definedName>
    <definedName name="HayMonth6" localSheetId="7">[1]AnimalDemandCalculation!$K$65</definedName>
    <definedName name="HayMonth6" localSheetId="8">[1]AnimalDemandCalculation!$K$65</definedName>
    <definedName name="HayMonth6" localSheetId="1">[1]AnimalDemandCalculation!$K$65</definedName>
    <definedName name="HayMonth6" localSheetId="3">[1]AnimalDemandCalculation!$K$65</definedName>
    <definedName name="HayMonth6">Calculations!$K$65</definedName>
    <definedName name="HayMonth7" localSheetId="16">[1]AnimalDemandCalculation!$K$66</definedName>
    <definedName name="HayMonth7" localSheetId="6">[1]AnimalDemandCalculation!$K$66</definedName>
    <definedName name="HayMonth7" localSheetId="11">[1]AnimalDemandCalculation!$K$66</definedName>
    <definedName name="HayMonth7" localSheetId="4">[1]AnimalDemandCalculation!$K$66</definedName>
    <definedName name="HayMonth7" localSheetId="9">[1]AnimalDemandCalculation!$K$66</definedName>
    <definedName name="HayMonth7" localSheetId="10">[1]AnimalDemandCalculation!$K$66</definedName>
    <definedName name="HayMonth7" localSheetId="7">[1]AnimalDemandCalculation!$K$66</definedName>
    <definedName name="HayMonth7" localSheetId="8">[1]AnimalDemandCalculation!$K$66</definedName>
    <definedName name="HayMonth7" localSheetId="1">[1]AnimalDemandCalculation!$K$66</definedName>
    <definedName name="HayMonth7" localSheetId="3">[1]AnimalDemandCalculation!$K$66</definedName>
    <definedName name="HayMonth7">Calculations!$K$66</definedName>
    <definedName name="HayMonth8" localSheetId="16">[1]AnimalDemandCalculation!$K$67</definedName>
    <definedName name="HayMonth8" localSheetId="6">[1]AnimalDemandCalculation!$K$67</definedName>
    <definedName name="HayMonth8" localSheetId="11">[1]AnimalDemandCalculation!$K$67</definedName>
    <definedName name="HayMonth8" localSheetId="4">[1]AnimalDemandCalculation!$K$67</definedName>
    <definedName name="HayMonth8" localSheetId="9">[1]AnimalDemandCalculation!$K$67</definedName>
    <definedName name="HayMonth8" localSheetId="10">[1]AnimalDemandCalculation!$K$67</definedName>
    <definedName name="HayMonth8" localSheetId="7">[1]AnimalDemandCalculation!$K$67</definedName>
    <definedName name="HayMonth8" localSheetId="8">[1]AnimalDemandCalculation!$K$67</definedName>
    <definedName name="HayMonth8" localSheetId="1">[1]AnimalDemandCalculation!$K$67</definedName>
    <definedName name="HayMonth8" localSheetId="3">[1]AnimalDemandCalculation!$K$67</definedName>
    <definedName name="HayMonth8">Calculations!$K$67</definedName>
    <definedName name="HayMonth9" localSheetId="16">[1]AnimalDemandCalculation!$K$68</definedName>
    <definedName name="HayMonth9" localSheetId="6">[1]AnimalDemandCalculation!$K$68</definedName>
    <definedName name="HayMonth9" localSheetId="11">[1]AnimalDemandCalculation!$K$68</definedName>
    <definedName name="HayMonth9" localSheetId="4">[1]AnimalDemandCalculation!$K$68</definedName>
    <definedName name="HayMonth9" localSheetId="9">[1]AnimalDemandCalculation!$K$68</definedName>
    <definedName name="HayMonth9" localSheetId="10">[1]AnimalDemandCalculation!$K$68</definedName>
    <definedName name="HayMonth9" localSheetId="7">[1]AnimalDemandCalculation!$K$68</definedName>
    <definedName name="HayMonth9" localSheetId="8">[1]AnimalDemandCalculation!$K$68</definedName>
    <definedName name="HayMonth9" localSheetId="1">[1]AnimalDemandCalculation!$K$68</definedName>
    <definedName name="HayMonth9" localSheetId="3">[1]AnimalDemandCalculation!$K$68</definedName>
    <definedName name="HayMonth9">Calculations!$K$68</definedName>
    <definedName name="HayMonthMenu" localSheetId="16">[1]AnimalDemandCalculation!$R$9:$R$20</definedName>
    <definedName name="HayMonthMenu" localSheetId="6">[1]AnimalDemandCalculation!$R$9:$R$20</definedName>
    <definedName name="HayMonthMenu" localSheetId="11">[1]AnimalDemandCalculation!$R$9:$R$20</definedName>
    <definedName name="HayMonthMenu" localSheetId="4">[1]AnimalDemandCalculation!$R$9:$R$20</definedName>
    <definedName name="HayMonthMenu" localSheetId="9">[1]AnimalDemandCalculation!$R$9:$R$20</definedName>
    <definedName name="HayMonthMenu" localSheetId="10">[1]AnimalDemandCalculation!$R$9:$R$20</definedName>
    <definedName name="HayMonthMenu" localSheetId="7">[1]AnimalDemandCalculation!$R$9:$R$20</definedName>
    <definedName name="HayMonthMenu" localSheetId="8">[1]AnimalDemandCalculation!$R$9:$R$20</definedName>
    <definedName name="HayMonthMenu" localSheetId="1">[1]AnimalDemandCalculation!$R$9:$R$20</definedName>
    <definedName name="HayMonthMenu" localSheetId="3">[1]AnimalDemandCalculation!$R$9:$R$20</definedName>
    <definedName name="HayMonthMenu">Calculations!$R$9:$R$20</definedName>
    <definedName name="HayOnly1">'Step 3. FA Balance'!$213:$213</definedName>
    <definedName name="HayOnly10">'Step 3. FA Balance'!$222:$222</definedName>
    <definedName name="HayOnly2">'Step 3. FA Balance'!$214:$214</definedName>
    <definedName name="HayOnly3">'Step 3. FA Balance'!$215:$215</definedName>
    <definedName name="HayOnly4">'Step 3. FA Balance'!$216:$216</definedName>
    <definedName name="HayOnly5">'Step 3. FA Balance'!$217:$217</definedName>
    <definedName name="HayOnly6">'Step 3. FA Balance'!$218:$218</definedName>
    <definedName name="HayOnly7">'Step 3. FA Balance'!$219:$219</definedName>
    <definedName name="HayOnly8">'Step 3. FA Balance'!$220:$220</definedName>
    <definedName name="HayOnly9">'Step 3. FA Balance'!$221:$221</definedName>
    <definedName name="HayOnlyAcres1" localSheetId="16">'[1]Step 3. FA Balance'!$I$213</definedName>
    <definedName name="HayOnlyAcres1" localSheetId="6">'[1]Step 3. FA Balance'!$I$213</definedName>
    <definedName name="HayOnlyAcres1" localSheetId="11">'[1]Step 3. FA Balance'!$I$213</definedName>
    <definedName name="HayOnlyAcres1" localSheetId="4">'[1]Step 3. FA Balance'!$I$213</definedName>
    <definedName name="HayOnlyAcres1" localSheetId="9">'[1]Step 3. FA Balance'!$I$213</definedName>
    <definedName name="HayOnlyAcres1" localSheetId="10">'[1]Step 3. FA Balance'!$I$213</definedName>
    <definedName name="HayOnlyAcres1" localSheetId="7">'[1]Step 3. FA Balance'!$I$213</definedName>
    <definedName name="HayOnlyAcres1" localSheetId="8">'[1]Step 3. FA Balance'!$I$213</definedName>
    <definedName name="HayOnlyAcres1" localSheetId="1">'[1]Step 3. FA Balance'!$I$213</definedName>
    <definedName name="HayOnlyAcres1" localSheetId="3">'[1]Step 3. FA Balance'!$I$213</definedName>
    <definedName name="HayOnlyAcres1">'Step 3. FA Balance'!$I$213</definedName>
    <definedName name="HayOnlyAcres10" localSheetId="16">'[1]Step 3. FA Balance'!$I$222</definedName>
    <definedName name="HayOnlyAcres10" localSheetId="6">'[1]Step 3. FA Balance'!$I$222</definedName>
    <definedName name="HayOnlyAcres10" localSheetId="11">'[1]Step 3. FA Balance'!$I$222</definedName>
    <definedName name="HayOnlyAcres10" localSheetId="4">'[1]Step 3. FA Balance'!$I$222</definedName>
    <definedName name="HayOnlyAcres10" localSheetId="9">'[1]Step 3. FA Balance'!$I$222</definedName>
    <definedName name="HayOnlyAcres10" localSheetId="10">'[1]Step 3. FA Balance'!$I$222</definedName>
    <definedName name="HayOnlyAcres10" localSheetId="7">'[1]Step 3. FA Balance'!$I$222</definedName>
    <definedName name="HayOnlyAcres10" localSheetId="8">'[1]Step 3. FA Balance'!$I$222</definedName>
    <definedName name="HayOnlyAcres10" localSheetId="1">'[1]Step 3. FA Balance'!$I$222</definedName>
    <definedName name="HayOnlyAcres10" localSheetId="3">'[1]Step 3. FA Balance'!$I$222</definedName>
    <definedName name="HayOnlyAcres10">'Step 3. FA Balance'!$I$222</definedName>
    <definedName name="HayOnlyAcres2" localSheetId="16">'[1]Step 3. FA Balance'!$I$214</definedName>
    <definedName name="HayOnlyAcres2" localSheetId="6">'[1]Step 3. FA Balance'!$I$214</definedName>
    <definedName name="HayOnlyAcres2" localSheetId="11">'[1]Step 3. FA Balance'!$I$214</definedName>
    <definedName name="HayOnlyAcres2" localSheetId="4">'[1]Step 3. FA Balance'!$I$214</definedName>
    <definedName name="HayOnlyAcres2" localSheetId="9">'[1]Step 3. FA Balance'!$I$214</definedName>
    <definedName name="HayOnlyAcres2" localSheetId="10">'[1]Step 3. FA Balance'!$I$214</definedName>
    <definedName name="HayOnlyAcres2" localSheetId="7">'[1]Step 3. FA Balance'!$I$214</definedName>
    <definedName name="HayOnlyAcres2" localSheetId="8">'[1]Step 3. FA Balance'!$I$214</definedName>
    <definedName name="HayOnlyAcres2" localSheetId="1">'[1]Step 3. FA Balance'!$I$214</definedName>
    <definedName name="HayOnlyAcres2" localSheetId="3">'[1]Step 3. FA Balance'!$I$214</definedName>
    <definedName name="HayOnlyAcres2">'Step 3. FA Balance'!$I$214</definedName>
    <definedName name="HayOnlyAcres3" localSheetId="16">'[1]Step 3. FA Balance'!$I$215</definedName>
    <definedName name="HayOnlyAcres3" localSheetId="6">'[1]Step 3. FA Balance'!$I$215</definedName>
    <definedName name="HayOnlyAcres3" localSheetId="11">'[1]Step 3. FA Balance'!$I$215</definedName>
    <definedName name="HayOnlyAcres3" localSheetId="4">'[1]Step 3. FA Balance'!$I$215</definedName>
    <definedName name="HayOnlyAcres3" localSheetId="9">'[1]Step 3. FA Balance'!$I$215</definedName>
    <definedName name="HayOnlyAcres3" localSheetId="10">'[1]Step 3. FA Balance'!$I$215</definedName>
    <definedName name="HayOnlyAcres3" localSheetId="7">'[1]Step 3. FA Balance'!$I$215</definedName>
    <definedName name="HayOnlyAcres3" localSheetId="8">'[1]Step 3. FA Balance'!$I$215</definedName>
    <definedName name="HayOnlyAcres3" localSheetId="1">'[1]Step 3. FA Balance'!$I$215</definedName>
    <definedName name="HayOnlyAcres3" localSheetId="3">'[1]Step 3. FA Balance'!$I$215</definedName>
    <definedName name="HayOnlyAcres3">'Step 3. FA Balance'!$I$215</definedName>
    <definedName name="HayOnlyAcres4" localSheetId="16">'[1]Step 3. FA Balance'!$I$216</definedName>
    <definedName name="HayOnlyAcres4" localSheetId="6">'[1]Step 3. FA Balance'!$I$216</definedName>
    <definedName name="HayOnlyAcres4" localSheetId="11">'[1]Step 3. FA Balance'!$I$216</definedName>
    <definedName name="HayOnlyAcres4" localSheetId="4">'[1]Step 3. FA Balance'!$I$216</definedName>
    <definedName name="HayOnlyAcres4" localSheetId="9">'[1]Step 3. FA Balance'!$I$216</definedName>
    <definedName name="HayOnlyAcres4" localSheetId="10">'[1]Step 3. FA Balance'!$I$216</definedName>
    <definedName name="HayOnlyAcres4" localSheetId="7">'[1]Step 3. FA Balance'!$I$216</definedName>
    <definedName name="HayOnlyAcres4" localSheetId="8">'[1]Step 3. FA Balance'!$I$216</definedName>
    <definedName name="HayOnlyAcres4" localSheetId="1">'[1]Step 3. FA Balance'!$I$216</definedName>
    <definedName name="HayOnlyAcres4" localSheetId="3">'[1]Step 3. FA Balance'!$I$216</definedName>
    <definedName name="HayOnlyAcres4">'Step 3. FA Balance'!$I$216</definedName>
    <definedName name="HayOnlyAcres5" localSheetId="16">'[1]Step 3. FA Balance'!$I$217</definedName>
    <definedName name="HayOnlyAcres5" localSheetId="6">'[1]Step 3. FA Balance'!$I$217</definedName>
    <definedName name="HayOnlyAcres5" localSheetId="11">'[1]Step 3. FA Balance'!$I$217</definedName>
    <definedName name="HayOnlyAcres5" localSheetId="4">'[1]Step 3. FA Balance'!$I$217</definedName>
    <definedName name="HayOnlyAcres5" localSheetId="9">'[1]Step 3. FA Balance'!$I$217</definedName>
    <definedName name="HayOnlyAcres5" localSheetId="10">'[1]Step 3. FA Balance'!$I$217</definedName>
    <definedName name="HayOnlyAcres5" localSheetId="7">'[1]Step 3. FA Balance'!$I$217</definedName>
    <definedName name="HayOnlyAcres5" localSheetId="8">'[1]Step 3. FA Balance'!$I$217</definedName>
    <definedName name="HayOnlyAcres5" localSheetId="1">'[1]Step 3. FA Balance'!$I$217</definedName>
    <definedName name="HayOnlyAcres5" localSheetId="3">'[1]Step 3. FA Balance'!$I$217</definedName>
    <definedName name="HayOnlyAcres5">'Step 3. FA Balance'!$I$217</definedName>
    <definedName name="HayOnlyAcres6" localSheetId="16">'[1]Step 3. FA Balance'!$I$218</definedName>
    <definedName name="HayOnlyAcres6" localSheetId="6">'[1]Step 3. FA Balance'!$I$218</definedName>
    <definedName name="HayOnlyAcres6" localSheetId="11">'[1]Step 3. FA Balance'!$I$218</definedName>
    <definedName name="HayOnlyAcres6" localSheetId="4">'[1]Step 3. FA Balance'!$I$218</definedName>
    <definedName name="HayOnlyAcres6" localSheetId="9">'[1]Step 3. FA Balance'!$I$218</definedName>
    <definedName name="HayOnlyAcres6" localSheetId="10">'[1]Step 3. FA Balance'!$I$218</definedName>
    <definedName name="HayOnlyAcres6" localSheetId="7">'[1]Step 3. FA Balance'!$I$218</definedName>
    <definedName name="HayOnlyAcres6" localSheetId="8">'[1]Step 3. FA Balance'!$I$218</definedName>
    <definedName name="HayOnlyAcres6" localSheetId="1">'[1]Step 3. FA Balance'!$I$218</definedName>
    <definedName name="HayOnlyAcres6" localSheetId="3">'[1]Step 3. FA Balance'!$I$218</definedName>
    <definedName name="HayOnlyAcres6">'Step 3. FA Balance'!$I$218</definedName>
    <definedName name="HayOnlyAcres7" localSheetId="16">'[1]Step 3. FA Balance'!$I$219</definedName>
    <definedName name="HayOnlyAcres7" localSheetId="6">'[1]Step 3. FA Balance'!$I$219</definedName>
    <definedName name="HayOnlyAcres7" localSheetId="11">'[1]Step 3. FA Balance'!$I$219</definedName>
    <definedName name="HayOnlyAcres7" localSheetId="4">'[1]Step 3. FA Balance'!$I$219</definedName>
    <definedName name="HayOnlyAcres7" localSheetId="9">'[1]Step 3. FA Balance'!$I$219</definedName>
    <definedName name="HayOnlyAcres7" localSheetId="10">'[1]Step 3. FA Balance'!$I$219</definedName>
    <definedName name="HayOnlyAcres7" localSheetId="7">'[1]Step 3. FA Balance'!$I$219</definedName>
    <definedName name="HayOnlyAcres7" localSheetId="8">'[1]Step 3. FA Balance'!$I$219</definedName>
    <definedName name="HayOnlyAcres7" localSheetId="1">'[1]Step 3. FA Balance'!$I$219</definedName>
    <definedName name="HayOnlyAcres7" localSheetId="3">'[1]Step 3. FA Balance'!$I$219</definedName>
    <definedName name="HayOnlyAcres7">'Step 3. FA Balance'!$I$219</definedName>
    <definedName name="HayOnlyAcres8" localSheetId="16">'[1]Step 3. FA Balance'!$I$220</definedName>
    <definedName name="HayOnlyAcres8" localSheetId="6">'[1]Step 3. FA Balance'!$I$220</definedName>
    <definedName name="HayOnlyAcres8" localSheetId="11">'[1]Step 3. FA Balance'!$I$220</definedName>
    <definedName name="HayOnlyAcres8" localSheetId="4">'[1]Step 3. FA Balance'!$I$220</definedName>
    <definedName name="HayOnlyAcres8" localSheetId="9">'[1]Step 3. FA Balance'!$I$220</definedName>
    <definedName name="HayOnlyAcres8" localSheetId="10">'[1]Step 3. FA Balance'!$I$220</definedName>
    <definedName name="HayOnlyAcres8" localSheetId="7">'[1]Step 3. FA Balance'!$I$220</definedName>
    <definedName name="HayOnlyAcres8" localSheetId="8">'[1]Step 3. FA Balance'!$I$220</definedName>
    <definedName name="HayOnlyAcres8" localSheetId="1">'[1]Step 3. FA Balance'!$I$220</definedName>
    <definedName name="HayOnlyAcres8" localSheetId="3">'[1]Step 3. FA Balance'!$I$220</definedName>
    <definedName name="HayOnlyAcres8">'Step 3. FA Balance'!$I$220</definedName>
    <definedName name="HayOnlyAcres9" localSheetId="16">'[1]Step 3. FA Balance'!$I$221</definedName>
    <definedName name="HayOnlyAcres9" localSheetId="6">'[1]Step 3. FA Balance'!$I$221</definedName>
    <definedName name="HayOnlyAcres9" localSheetId="11">'[1]Step 3. FA Balance'!$I$221</definedName>
    <definedName name="HayOnlyAcres9" localSheetId="4">'[1]Step 3. FA Balance'!$I$221</definedName>
    <definedName name="HayOnlyAcres9" localSheetId="9">'[1]Step 3. FA Balance'!$I$221</definedName>
    <definedName name="HayOnlyAcres9" localSheetId="10">'[1]Step 3. FA Balance'!$I$221</definedName>
    <definedName name="HayOnlyAcres9" localSheetId="7">'[1]Step 3. FA Balance'!$I$221</definedName>
    <definedName name="HayOnlyAcres9" localSheetId="8">'[1]Step 3. FA Balance'!$I$221</definedName>
    <definedName name="HayOnlyAcres9" localSheetId="1">'[1]Step 3. FA Balance'!$I$221</definedName>
    <definedName name="HayOnlyAcres9" localSheetId="3">'[1]Step 3. FA Balance'!$I$221</definedName>
    <definedName name="HayOnlyAcres9">'Step 3. FA Balance'!$I$221</definedName>
    <definedName name="HayOnlyEff1" localSheetId="16">'[1]Step 3. FA Balance'!$M$213</definedName>
    <definedName name="HayOnlyEff1" localSheetId="6">'[1]Step 3. FA Balance'!$M$213</definedName>
    <definedName name="HayOnlyEff1" localSheetId="11">'[1]Step 3. FA Balance'!$M$213</definedName>
    <definedName name="HayOnlyEff1" localSheetId="4">'[1]Step 3. FA Balance'!$M$213</definedName>
    <definedName name="HayOnlyEff1" localSheetId="9">'[1]Step 3. FA Balance'!$M$213</definedName>
    <definedName name="HayOnlyEff1" localSheetId="10">'[1]Step 3. FA Balance'!$M$213</definedName>
    <definedName name="HayOnlyEff1" localSheetId="7">'[1]Step 3. FA Balance'!$M$213</definedName>
    <definedName name="HayOnlyEff1" localSheetId="8">'[1]Step 3. FA Balance'!$M$213</definedName>
    <definedName name="HayOnlyEff1" localSheetId="1">'[1]Step 3. FA Balance'!$M$213</definedName>
    <definedName name="HayOnlyEff1" localSheetId="3">'[1]Step 3. FA Balance'!$M$213</definedName>
    <definedName name="HayOnlyEff1">'Step 3. FA Balance'!$M$213</definedName>
    <definedName name="HayOnlyEff10" localSheetId="16">'[1]Step 3. FA Balance'!$M$222</definedName>
    <definedName name="HayOnlyEff10" localSheetId="6">'[1]Step 3. FA Balance'!$M$222</definedName>
    <definedName name="HayOnlyEff10" localSheetId="11">'[1]Step 3. FA Balance'!$M$222</definedName>
    <definedName name="HayOnlyEff10" localSheetId="4">'[1]Step 3. FA Balance'!$M$222</definedName>
    <definedName name="HayOnlyEff10" localSheetId="9">'[1]Step 3. FA Balance'!$M$222</definedName>
    <definedName name="HayOnlyEff10" localSheetId="10">'[1]Step 3. FA Balance'!$M$222</definedName>
    <definedName name="HayOnlyEff10" localSheetId="7">'[1]Step 3. FA Balance'!$M$222</definedName>
    <definedName name="HayOnlyEff10" localSheetId="8">'[1]Step 3. FA Balance'!$M$222</definedName>
    <definedName name="HayOnlyEff10" localSheetId="1">'[1]Step 3. FA Balance'!$M$222</definedName>
    <definedName name="HayOnlyEff10" localSheetId="3">'[1]Step 3. FA Balance'!$M$222</definedName>
    <definedName name="HayOnlyEff10">'Step 3. FA Balance'!$M$222</definedName>
    <definedName name="HayOnlyEff2" localSheetId="16">'[1]Step 3. FA Balance'!$M$214</definedName>
    <definedName name="HayOnlyEff2" localSheetId="6">'[1]Step 3. FA Balance'!$M$214</definedName>
    <definedName name="HayOnlyEff2" localSheetId="11">'[1]Step 3. FA Balance'!$M$214</definedName>
    <definedName name="HayOnlyEff2" localSheetId="4">'[1]Step 3. FA Balance'!$M$214</definedName>
    <definedName name="HayOnlyEff2" localSheetId="9">'[1]Step 3. FA Balance'!$M$214</definedName>
    <definedName name="HayOnlyEff2" localSheetId="10">'[1]Step 3. FA Balance'!$M$214</definedName>
    <definedName name="HayOnlyEff2" localSheetId="7">'[1]Step 3. FA Balance'!$M$214</definedName>
    <definedName name="HayOnlyEff2" localSheetId="8">'[1]Step 3. FA Balance'!$M$214</definedName>
    <definedName name="HayOnlyEff2" localSheetId="1">'[1]Step 3. FA Balance'!$M$214</definedName>
    <definedName name="HayOnlyEff2" localSheetId="3">'[1]Step 3. FA Balance'!$M$214</definedName>
    <definedName name="HayOnlyEff2">'Step 3. FA Balance'!$M$214</definedName>
    <definedName name="HayOnlyEff3" localSheetId="16">'[1]Step 3. FA Balance'!$M$215</definedName>
    <definedName name="HayOnlyEff3" localSheetId="6">'[1]Step 3. FA Balance'!$M$215</definedName>
    <definedName name="HayOnlyEff3" localSheetId="11">'[1]Step 3. FA Balance'!$M$215</definedName>
    <definedName name="HayOnlyEff3" localSheetId="4">'[1]Step 3. FA Balance'!$M$215</definedName>
    <definedName name="HayOnlyEff3" localSheetId="9">'[1]Step 3. FA Balance'!$M$215</definedName>
    <definedName name="HayOnlyEff3" localSheetId="10">'[1]Step 3. FA Balance'!$M$215</definedName>
    <definedName name="HayOnlyEff3" localSheetId="7">'[1]Step 3. FA Balance'!$M$215</definedName>
    <definedName name="HayOnlyEff3" localSheetId="8">'[1]Step 3. FA Balance'!$M$215</definedName>
    <definedName name="HayOnlyEff3" localSheetId="1">'[1]Step 3. FA Balance'!$M$215</definedName>
    <definedName name="HayOnlyEff3" localSheetId="3">'[1]Step 3. FA Balance'!$M$215</definedName>
    <definedName name="HayOnlyEff3">'Step 3. FA Balance'!$M$215</definedName>
    <definedName name="HayOnlyEff4" localSheetId="16">'[1]Step 3. FA Balance'!$M$216</definedName>
    <definedName name="HayOnlyEff4" localSheetId="6">'[1]Step 3. FA Balance'!$M$216</definedName>
    <definedName name="HayOnlyEff4" localSheetId="11">'[1]Step 3. FA Balance'!$M$216</definedName>
    <definedName name="HayOnlyEff4" localSheetId="4">'[1]Step 3. FA Balance'!$M$216</definedName>
    <definedName name="HayOnlyEff4" localSheetId="9">'[1]Step 3. FA Balance'!$M$216</definedName>
    <definedName name="HayOnlyEff4" localSheetId="10">'[1]Step 3. FA Balance'!$M$216</definedName>
    <definedName name="HayOnlyEff4" localSheetId="7">'[1]Step 3. FA Balance'!$M$216</definedName>
    <definedName name="HayOnlyEff4" localSheetId="8">'[1]Step 3. FA Balance'!$M$216</definedName>
    <definedName name="HayOnlyEff4" localSheetId="1">'[1]Step 3. FA Balance'!$M$216</definedName>
    <definedName name="HayOnlyEff4" localSheetId="3">'[1]Step 3. FA Balance'!$M$216</definedName>
    <definedName name="HayOnlyEff4">'Step 3. FA Balance'!$M$216</definedName>
    <definedName name="HayOnlyEff5" localSheetId="16">'[1]Step 3. FA Balance'!$M$217</definedName>
    <definedName name="HayOnlyEff5" localSheetId="6">'[1]Step 3. FA Balance'!$M$217</definedName>
    <definedName name="HayOnlyEff5" localSheetId="11">'[1]Step 3. FA Balance'!$M$217</definedName>
    <definedName name="HayOnlyEff5" localSheetId="4">'[1]Step 3. FA Balance'!$M$217</definedName>
    <definedName name="HayOnlyEff5" localSheetId="9">'[1]Step 3. FA Balance'!$M$217</definedName>
    <definedName name="HayOnlyEff5" localSheetId="10">'[1]Step 3. FA Balance'!$M$217</definedName>
    <definedName name="HayOnlyEff5" localSheetId="7">'[1]Step 3. FA Balance'!$M$217</definedName>
    <definedName name="HayOnlyEff5" localSheetId="8">'[1]Step 3. FA Balance'!$M$217</definedName>
    <definedName name="HayOnlyEff5" localSheetId="1">'[1]Step 3. FA Balance'!$M$217</definedName>
    <definedName name="HayOnlyEff5" localSheetId="3">'[1]Step 3. FA Balance'!$M$217</definedName>
    <definedName name="HayOnlyEff5">'Step 3. FA Balance'!$M$217</definedName>
    <definedName name="HayOnlyEff6" localSheetId="16">'[1]Step 3. FA Balance'!$M$218</definedName>
    <definedName name="HayOnlyEff6" localSheetId="6">'[1]Step 3. FA Balance'!$M$218</definedName>
    <definedName name="HayOnlyEff6" localSheetId="11">'[1]Step 3. FA Balance'!$M$218</definedName>
    <definedName name="HayOnlyEff6" localSheetId="4">'[1]Step 3. FA Balance'!$M$218</definedName>
    <definedName name="HayOnlyEff6" localSheetId="9">'[1]Step 3. FA Balance'!$M$218</definedName>
    <definedName name="HayOnlyEff6" localSheetId="10">'[1]Step 3. FA Balance'!$M$218</definedName>
    <definedName name="HayOnlyEff6" localSheetId="7">'[1]Step 3. FA Balance'!$M$218</definedName>
    <definedName name="HayOnlyEff6" localSheetId="8">'[1]Step 3. FA Balance'!$M$218</definedName>
    <definedName name="HayOnlyEff6" localSheetId="1">'[1]Step 3. FA Balance'!$M$218</definedName>
    <definedName name="HayOnlyEff6" localSheetId="3">'[1]Step 3. FA Balance'!$M$218</definedName>
    <definedName name="HayOnlyEff6">'Step 3. FA Balance'!$M$218</definedName>
    <definedName name="HayOnlyEff7" localSheetId="16">'[1]Step 3. FA Balance'!$M$219</definedName>
    <definedName name="HayOnlyEff7" localSheetId="6">'[1]Step 3. FA Balance'!$M$219</definedName>
    <definedName name="HayOnlyEff7" localSheetId="11">'[1]Step 3. FA Balance'!$M$219</definedName>
    <definedName name="HayOnlyEff7" localSheetId="4">'[1]Step 3. FA Balance'!$M$219</definedName>
    <definedName name="HayOnlyEff7" localSheetId="9">'[1]Step 3. FA Balance'!$M$219</definedName>
    <definedName name="HayOnlyEff7" localSheetId="10">'[1]Step 3. FA Balance'!$M$219</definedName>
    <definedName name="HayOnlyEff7" localSheetId="7">'[1]Step 3. FA Balance'!$M$219</definedName>
    <definedName name="HayOnlyEff7" localSheetId="8">'[1]Step 3. FA Balance'!$M$219</definedName>
    <definedName name="HayOnlyEff7" localSheetId="1">'[1]Step 3. FA Balance'!$M$219</definedName>
    <definedName name="HayOnlyEff7" localSheetId="3">'[1]Step 3. FA Balance'!$M$219</definedName>
    <definedName name="HayOnlyEff7">'Step 3. FA Balance'!$M$219</definedName>
    <definedName name="HayOnlyEff8" localSheetId="16">'[1]Step 3. FA Balance'!$M$220</definedName>
    <definedName name="HayOnlyEff8" localSheetId="6">'[1]Step 3. FA Balance'!$M$220</definedName>
    <definedName name="HayOnlyEff8" localSheetId="11">'[1]Step 3. FA Balance'!$M$220</definedName>
    <definedName name="HayOnlyEff8" localSheetId="4">'[1]Step 3. FA Balance'!$M$220</definedName>
    <definedName name="HayOnlyEff8" localSheetId="9">'[1]Step 3. FA Balance'!$M$220</definedName>
    <definedName name="HayOnlyEff8" localSheetId="10">'[1]Step 3. FA Balance'!$M$220</definedName>
    <definedName name="HayOnlyEff8" localSheetId="7">'[1]Step 3. FA Balance'!$M$220</definedName>
    <definedName name="HayOnlyEff8" localSheetId="8">'[1]Step 3. FA Balance'!$M$220</definedName>
    <definedName name="HayOnlyEff8" localSheetId="1">'[1]Step 3. FA Balance'!$M$220</definedName>
    <definedName name="HayOnlyEff8" localSheetId="3">'[1]Step 3. FA Balance'!$M$220</definedName>
    <definedName name="HayOnlyEff8">'Step 3. FA Balance'!$M$220</definedName>
    <definedName name="HayOnlyEff9" localSheetId="16">'[1]Step 3. FA Balance'!$M$221</definedName>
    <definedName name="HayOnlyEff9" localSheetId="6">'[1]Step 3. FA Balance'!$M$221</definedName>
    <definedName name="HayOnlyEff9" localSheetId="11">'[1]Step 3. FA Balance'!$M$221</definedName>
    <definedName name="HayOnlyEff9" localSheetId="4">'[1]Step 3. FA Balance'!$M$221</definedName>
    <definedName name="HayOnlyEff9" localSheetId="9">'[1]Step 3. FA Balance'!$M$221</definedName>
    <definedName name="HayOnlyEff9" localSheetId="10">'[1]Step 3. FA Balance'!$M$221</definedName>
    <definedName name="HayOnlyEff9" localSheetId="7">'[1]Step 3. FA Balance'!$M$221</definedName>
    <definedName name="HayOnlyEff9" localSheetId="8">'[1]Step 3. FA Balance'!$M$221</definedName>
    <definedName name="HayOnlyEff9" localSheetId="1">'[1]Step 3. FA Balance'!$M$221</definedName>
    <definedName name="HayOnlyEff9" localSheetId="3">'[1]Step 3. FA Balance'!$M$221</definedName>
    <definedName name="HayOnlyEff9">'Step 3. FA Balance'!$M$221</definedName>
    <definedName name="HayOnlyField1" localSheetId="16">'[1]Step 3. FA Balance'!$G$213</definedName>
    <definedName name="HayOnlyField1" localSheetId="6">'[1]Step 3. FA Balance'!$G$213</definedName>
    <definedName name="HayOnlyField1" localSheetId="11">'[1]Step 3. FA Balance'!$G$213</definedName>
    <definedName name="HayOnlyField1" localSheetId="4">'[1]Step 3. FA Balance'!$G$213</definedName>
    <definedName name="HayOnlyField1" localSheetId="9">'[1]Step 3. FA Balance'!$G$213</definedName>
    <definedName name="HayOnlyField1" localSheetId="10">'[1]Step 3. FA Balance'!$G$213</definedName>
    <definedName name="HayOnlyField1" localSheetId="7">'[1]Step 3. FA Balance'!$G$213</definedName>
    <definedName name="HayOnlyField1" localSheetId="8">'[1]Step 3. FA Balance'!$G$213</definedName>
    <definedName name="HayOnlyField1" localSheetId="1">'[1]Step 3. FA Balance'!$G$213</definedName>
    <definedName name="HayOnlyField1" localSheetId="3">'[1]Step 3. FA Balance'!$G$213</definedName>
    <definedName name="HayOnlyField1">'Step 3. FA Balance'!$G$213</definedName>
    <definedName name="HayOnlyField10" localSheetId="16">'[1]Step 3. FA Balance'!$G$222</definedName>
    <definedName name="HayOnlyField10" localSheetId="6">'[1]Step 3. FA Balance'!$G$222</definedName>
    <definedName name="HayOnlyField10" localSheetId="11">'[1]Step 3. FA Balance'!$G$222</definedName>
    <definedName name="HayOnlyField10" localSheetId="4">'[1]Step 3. FA Balance'!$G$222</definedName>
    <definedName name="HayOnlyField10" localSheetId="9">'[1]Step 3. FA Balance'!$G$222</definedName>
    <definedName name="HayOnlyField10" localSheetId="10">'[1]Step 3. FA Balance'!$G$222</definedName>
    <definedName name="HayOnlyField10" localSheetId="7">'[1]Step 3. FA Balance'!$G$222</definedName>
    <definedName name="HayOnlyField10" localSheetId="8">'[1]Step 3. FA Balance'!$G$222</definedName>
    <definedName name="HayOnlyField10" localSheetId="1">'[1]Step 3. FA Balance'!$G$222</definedName>
    <definedName name="HayOnlyField10" localSheetId="3">'[1]Step 3. FA Balance'!$G$222</definedName>
    <definedName name="HayOnlyField10">'Step 3. FA Balance'!$G$222</definedName>
    <definedName name="HayOnlyField2" localSheetId="16">'[1]Step 3. FA Balance'!$G$214</definedName>
    <definedName name="HayOnlyField2" localSheetId="6">'[1]Step 3. FA Balance'!$G$214</definedName>
    <definedName name="HayOnlyField2" localSheetId="11">'[1]Step 3. FA Balance'!$G$214</definedName>
    <definedName name="HayOnlyField2" localSheetId="4">'[1]Step 3. FA Balance'!$G$214</definedName>
    <definedName name="HayOnlyField2" localSheetId="9">'[1]Step 3. FA Balance'!$G$214</definedName>
    <definedName name="HayOnlyField2" localSheetId="10">'[1]Step 3. FA Balance'!$G$214</definedName>
    <definedName name="HayOnlyField2" localSheetId="7">'[1]Step 3. FA Balance'!$G$214</definedName>
    <definedName name="HayOnlyField2" localSheetId="8">'[1]Step 3. FA Balance'!$G$214</definedName>
    <definedName name="HayOnlyField2" localSheetId="1">'[1]Step 3. FA Balance'!$G$214</definedName>
    <definedName name="HayOnlyField2" localSheetId="3">'[1]Step 3. FA Balance'!$G$214</definedName>
    <definedName name="HayOnlyField2">'Step 3. FA Balance'!$G$214</definedName>
    <definedName name="HayOnlyField3" localSheetId="16">'[1]Step 3. FA Balance'!$G$215</definedName>
    <definedName name="HayOnlyField3" localSheetId="6">'[1]Step 3. FA Balance'!$G$215</definedName>
    <definedName name="HayOnlyField3" localSheetId="11">'[1]Step 3. FA Balance'!$G$215</definedName>
    <definedName name="HayOnlyField3" localSheetId="4">'[1]Step 3. FA Balance'!$G$215</definedName>
    <definedName name="HayOnlyField3" localSheetId="9">'[1]Step 3. FA Balance'!$G$215</definedName>
    <definedName name="HayOnlyField3" localSheetId="10">'[1]Step 3. FA Balance'!$G$215</definedName>
    <definedName name="HayOnlyField3" localSheetId="7">'[1]Step 3. FA Balance'!$G$215</definedName>
    <definedName name="HayOnlyField3" localSheetId="8">'[1]Step 3. FA Balance'!$G$215</definedName>
    <definedName name="HayOnlyField3" localSheetId="1">'[1]Step 3. FA Balance'!$G$215</definedName>
    <definedName name="HayOnlyField3" localSheetId="3">'[1]Step 3. FA Balance'!$G$215</definedName>
    <definedName name="HayOnlyField3">'Step 3. FA Balance'!$G$215</definedName>
    <definedName name="HayOnlyField4" localSheetId="16">'[1]Step 3. FA Balance'!$G$216</definedName>
    <definedName name="HayOnlyField4" localSheetId="6">'[1]Step 3. FA Balance'!$G$216</definedName>
    <definedName name="HayOnlyField4" localSheetId="11">'[1]Step 3. FA Balance'!$G$216</definedName>
    <definedName name="HayOnlyField4" localSheetId="4">'[1]Step 3. FA Balance'!$G$216</definedName>
    <definedName name="HayOnlyField4" localSheetId="9">'[1]Step 3. FA Balance'!$G$216</definedName>
    <definedName name="HayOnlyField4" localSheetId="10">'[1]Step 3. FA Balance'!$G$216</definedName>
    <definedName name="HayOnlyField4" localSheetId="7">'[1]Step 3. FA Balance'!$G$216</definedName>
    <definedName name="HayOnlyField4" localSheetId="8">'[1]Step 3. FA Balance'!$G$216</definedName>
    <definedName name="HayOnlyField4" localSheetId="1">'[1]Step 3. FA Balance'!$G$216</definedName>
    <definedName name="HayOnlyField4" localSheetId="3">'[1]Step 3. FA Balance'!$G$216</definedName>
    <definedName name="HayOnlyField4">'Step 3. FA Balance'!$G$216</definedName>
    <definedName name="HayOnlyField5" localSheetId="16">'[1]Step 3. FA Balance'!$G$217</definedName>
    <definedName name="HayOnlyField5" localSheetId="6">'[1]Step 3. FA Balance'!$G$217</definedName>
    <definedName name="HayOnlyField5" localSheetId="11">'[1]Step 3. FA Balance'!$G$217</definedName>
    <definedName name="HayOnlyField5" localSheetId="4">'[1]Step 3. FA Balance'!$G$217</definedName>
    <definedName name="HayOnlyField5" localSheetId="9">'[1]Step 3. FA Balance'!$G$217</definedName>
    <definedName name="HayOnlyField5" localSheetId="10">'[1]Step 3. FA Balance'!$G$217</definedName>
    <definedName name="HayOnlyField5" localSheetId="7">'[1]Step 3. FA Balance'!$G$217</definedName>
    <definedName name="HayOnlyField5" localSheetId="8">'[1]Step 3. FA Balance'!$G$217</definedName>
    <definedName name="HayOnlyField5" localSheetId="1">'[1]Step 3. FA Balance'!$G$217</definedName>
    <definedName name="HayOnlyField5" localSheetId="3">'[1]Step 3. FA Balance'!$G$217</definedName>
    <definedName name="HayOnlyField5">'Step 3. FA Balance'!$G$217</definedName>
    <definedName name="HayOnlyField6" localSheetId="16">'[1]Step 3. FA Balance'!$G$218</definedName>
    <definedName name="HayOnlyField6" localSheetId="6">'[1]Step 3. FA Balance'!$G$218</definedName>
    <definedName name="HayOnlyField6" localSheetId="11">'[1]Step 3. FA Balance'!$G$218</definedName>
    <definedName name="HayOnlyField6" localSheetId="4">'[1]Step 3. FA Balance'!$G$218</definedName>
    <definedName name="HayOnlyField6" localSheetId="9">'[1]Step 3. FA Balance'!$G$218</definedName>
    <definedName name="HayOnlyField6" localSheetId="10">'[1]Step 3. FA Balance'!$G$218</definedName>
    <definedName name="HayOnlyField6" localSheetId="7">'[1]Step 3. FA Balance'!$G$218</definedName>
    <definedName name="HayOnlyField6" localSheetId="8">'[1]Step 3. FA Balance'!$G$218</definedName>
    <definedName name="HayOnlyField6" localSheetId="1">'[1]Step 3. FA Balance'!$G$218</definedName>
    <definedName name="HayOnlyField6" localSheetId="3">'[1]Step 3. FA Balance'!$G$218</definedName>
    <definedName name="HayOnlyField6">'Step 3. FA Balance'!$G$218</definedName>
    <definedName name="HayOnlyField7" localSheetId="16">'[1]Step 3. FA Balance'!$G$219</definedName>
    <definedName name="HayOnlyField7" localSheetId="6">'[1]Step 3. FA Balance'!$G$219</definedName>
    <definedName name="HayOnlyField7" localSheetId="11">'[1]Step 3. FA Balance'!$G$219</definedName>
    <definedName name="HayOnlyField7" localSheetId="4">'[1]Step 3. FA Balance'!$G$219</definedName>
    <definedName name="HayOnlyField7" localSheetId="9">'[1]Step 3. FA Balance'!$G$219</definedName>
    <definedName name="HayOnlyField7" localSheetId="10">'[1]Step 3. FA Balance'!$G$219</definedName>
    <definedName name="HayOnlyField7" localSheetId="7">'[1]Step 3. FA Balance'!$G$219</definedName>
    <definedName name="HayOnlyField7" localSheetId="8">'[1]Step 3. FA Balance'!$G$219</definedName>
    <definedName name="HayOnlyField7" localSheetId="1">'[1]Step 3. FA Balance'!$G$219</definedName>
    <definedName name="HayOnlyField7" localSheetId="3">'[1]Step 3. FA Balance'!$G$219</definedName>
    <definedName name="HayOnlyField7">'Step 3. FA Balance'!$G$219</definedName>
    <definedName name="HayOnlyField8" localSheetId="16">'[1]Step 3. FA Balance'!$G$220</definedName>
    <definedName name="HayOnlyField8" localSheetId="6">'[1]Step 3. FA Balance'!$G$220</definedName>
    <definedName name="HayOnlyField8" localSheetId="11">'[1]Step 3. FA Balance'!$G$220</definedName>
    <definedName name="HayOnlyField8" localSheetId="4">'[1]Step 3. FA Balance'!$G$220</definedName>
    <definedName name="HayOnlyField8" localSheetId="9">'[1]Step 3. FA Balance'!$G$220</definedName>
    <definedName name="HayOnlyField8" localSheetId="10">'[1]Step 3. FA Balance'!$G$220</definedName>
    <definedName name="HayOnlyField8" localSheetId="7">'[1]Step 3. FA Balance'!$G$220</definedName>
    <definedName name="HayOnlyField8" localSheetId="8">'[1]Step 3. FA Balance'!$G$220</definedName>
    <definedName name="HayOnlyField8" localSheetId="1">'[1]Step 3. FA Balance'!$G$220</definedName>
    <definedName name="HayOnlyField8" localSheetId="3">'[1]Step 3. FA Balance'!$G$220</definedName>
    <definedName name="HayOnlyField8">'Step 3. FA Balance'!$G$220</definedName>
    <definedName name="HayOnlyField9" localSheetId="16">'[1]Step 3. FA Balance'!$G$221</definedName>
    <definedName name="HayOnlyField9" localSheetId="6">'[1]Step 3. FA Balance'!$G$221</definedName>
    <definedName name="HayOnlyField9" localSheetId="11">'[1]Step 3. FA Balance'!$G$221</definedName>
    <definedName name="HayOnlyField9" localSheetId="4">'[1]Step 3. FA Balance'!$G$221</definedName>
    <definedName name="HayOnlyField9" localSheetId="9">'[1]Step 3. FA Balance'!$G$221</definedName>
    <definedName name="HayOnlyField9" localSheetId="10">'[1]Step 3. FA Balance'!$G$221</definedName>
    <definedName name="HayOnlyField9" localSheetId="7">'[1]Step 3. FA Balance'!$G$221</definedName>
    <definedName name="HayOnlyField9" localSheetId="8">'[1]Step 3. FA Balance'!$G$221</definedName>
    <definedName name="HayOnlyField9" localSheetId="1">'[1]Step 3. FA Balance'!$G$221</definedName>
    <definedName name="HayOnlyField9" localSheetId="3">'[1]Step 3. FA Balance'!$G$221</definedName>
    <definedName name="HayOnlyField9">'Step 3. FA Balance'!$G$221</definedName>
    <definedName name="HayOnlyKind1" localSheetId="16">'[1]Step 3. FA Balance'!$H$213</definedName>
    <definedName name="HayOnlyKind1" localSheetId="6">'[1]Step 3. FA Balance'!$H$213</definedName>
    <definedName name="HayOnlyKind1" localSheetId="11">'[1]Step 3. FA Balance'!$H$213</definedName>
    <definedName name="HayOnlyKind1" localSheetId="4">'[1]Step 3. FA Balance'!$H$213</definedName>
    <definedName name="HayOnlyKind1" localSheetId="9">'[1]Step 3. FA Balance'!$H$213</definedName>
    <definedName name="HayOnlyKind1" localSheetId="10">'[1]Step 3. FA Balance'!$H$213</definedName>
    <definedName name="HayOnlyKind1" localSheetId="7">'[1]Step 3. FA Balance'!$H$213</definedName>
    <definedName name="HayOnlyKind1" localSheetId="8">'[1]Step 3. FA Balance'!$H$213</definedName>
    <definedName name="HayOnlyKind1" localSheetId="1">'[1]Step 3. FA Balance'!$H$213</definedName>
    <definedName name="HayOnlyKind1" localSheetId="3">'[1]Step 3. FA Balance'!$H$213</definedName>
    <definedName name="HayOnlyKind1">'Step 3. FA Balance'!$H$213</definedName>
    <definedName name="HayOnlyKind10" localSheetId="16">'[1]Step 3. FA Balance'!$H$222</definedName>
    <definedName name="HayOnlyKind10" localSheetId="6">'[1]Step 3. FA Balance'!$H$222</definedName>
    <definedName name="HayOnlyKind10" localSheetId="11">'[1]Step 3. FA Balance'!$H$222</definedName>
    <definedName name="HayOnlyKind10" localSheetId="4">'[1]Step 3. FA Balance'!$H$222</definedName>
    <definedName name="HayOnlyKind10" localSheetId="9">'[1]Step 3. FA Balance'!$H$222</definedName>
    <definedName name="HayOnlyKind10" localSheetId="10">'[1]Step 3. FA Balance'!$H$222</definedName>
    <definedName name="HayOnlyKind10" localSheetId="7">'[1]Step 3. FA Balance'!$H$222</definedName>
    <definedName name="HayOnlyKind10" localSheetId="8">'[1]Step 3. FA Balance'!$H$222</definedName>
    <definedName name="HayOnlyKind10" localSheetId="1">'[1]Step 3. FA Balance'!$H$222</definedName>
    <definedName name="HayOnlyKind10" localSheetId="3">'[1]Step 3. FA Balance'!$H$222</definedName>
    <definedName name="HayOnlyKind10">'Step 3. FA Balance'!$H$222</definedName>
    <definedName name="HayOnlyKind2" localSheetId="16">'[1]Step 3. FA Balance'!$H$214</definedName>
    <definedName name="HayOnlyKind2" localSheetId="6">'[1]Step 3. FA Balance'!$H$214</definedName>
    <definedName name="HayOnlyKind2" localSheetId="11">'[1]Step 3. FA Balance'!$H$214</definedName>
    <definedName name="HayOnlyKind2" localSheetId="4">'[1]Step 3. FA Balance'!$H$214</definedName>
    <definedName name="HayOnlyKind2" localSheetId="9">'[1]Step 3. FA Balance'!$H$214</definedName>
    <definedName name="HayOnlyKind2" localSheetId="10">'[1]Step 3. FA Balance'!$H$214</definedName>
    <definedName name="HayOnlyKind2" localSheetId="7">'[1]Step 3. FA Balance'!$H$214</definedName>
    <definedName name="HayOnlyKind2" localSheetId="8">'[1]Step 3. FA Balance'!$H$214</definedName>
    <definedName name="HayOnlyKind2" localSheetId="1">'[1]Step 3. FA Balance'!$H$214</definedName>
    <definedName name="HayOnlyKind2" localSheetId="3">'[1]Step 3. FA Balance'!$H$214</definedName>
    <definedName name="HayOnlyKind2">'Step 3. FA Balance'!$H$214</definedName>
    <definedName name="HayOnlyKind3" localSheetId="16">'[1]Step 3. FA Balance'!$H$215</definedName>
    <definedName name="HayOnlyKind3" localSheetId="6">'[1]Step 3. FA Balance'!$H$215</definedName>
    <definedName name="HayOnlyKind3" localSheetId="11">'[1]Step 3. FA Balance'!$H$215</definedName>
    <definedName name="HayOnlyKind3" localSheetId="4">'[1]Step 3. FA Balance'!$H$215</definedName>
    <definedName name="HayOnlyKind3" localSheetId="9">'[1]Step 3. FA Balance'!$H$215</definedName>
    <definedName name="HayOnlyKind3" localSheetId="10">'[1]Step 3. FA Balance'!$H$215</definedName>
    <definedName name="HayOnlyKind3" localSheetId="7">'[1]Step 3. FA Balance'!$H$215</definedName>
    <definedName name="HayOnlyKind3" localSheetId="8">'[1]Step 3. FA Balance'!$H$215</definedName>
    <definedName name="HayOnlyKind3" localSheetId="1">'[1]Step 3. FA Balance'!$H$215</definedName>
    <definedName name="HayOnlyKind3" localSheetId="3">'[1]Step 3. FA Balance'!$H$215</definedName>
    <definedName name="HayOnlyKind3">'Step 3. FA Balance'!$H$215</definedName>
    <definedName name="HayOnlyKind4" localSheetId="16">'[1]Step 3. FA Balance'!$H$216</definedName>
    <definedName name="HayOnlyKind4" localSheetId="6">'[1]Step 3. FA Balance'!$H$216</definedName>
    <definedName name="HayOnlyKind4" localSheetId="11">'[1]Step 3. FA Balance'!$H$216</definedName>
    <definedName name="HayOnlyKind4" localSheetId="4">'[1]Step 3. FA Balance'!$H$216</definedName>
    <definedName name="HayOnlyKind4" localSheetId="9">'[1]Step 3. FA Balance'!$H$216</definedName>
    <definedName name="HayOnlyKind4" localSheetId="10">'[1]Step 3. FA Balance'!$H$216</definedName>
    <definedName name="HayOnlyKind4" localSheetId="7">'[1]Step 3. FA Balance'!$H$216</definedName>
    <definedName name="HayOnlyKind4" localSheetId="8">'[1]Step 3. FA Balance'!$H$216</definedName>
    <definedName name="HayOnlyKind4" localSheetId="1">'[1]Step 3. FA Balance'!$H$216</definedName>
    <definedName name="HayOnlyKind4" localSheetId="3">'[1]Step 3. FA Balance'!$H$216</definedName>
    <definedName name="HayOnlyKind4">'Step 3. FA Balance'!$H$216</definedName>
    <definedName name="HayOnlyKind5" localSheetId="16">'[1]Step 3. FA Balance'!$H$217</definedName>
    <definedName name="HayOnlyKind5" localSheetId="6">'[1]Step 3. FA Balance'!$H$217</definedName>
    <definedName name="HayOnlyKind5" localSheetId="11">'[1]Step 3. FA Balance'!$H$217</definedName>
    <definedName name="HayOnlyKind5" localSheetId="4">'[1]Step 3. FA Balance'!$H$217</definedName>
    <definedName name="HayOnlyKind5" localSheetId="9">'[1]Step 3. FA Balance'!$H$217</definedName>
    <definedName name="HayOnlyKind5" localSheetId="10">'[1]Step 3. FA Balance'!$H$217</definedName>
    <definedName name="HayOnlyKind5" localSheetId="7">'[1]Step 3. FA Balance'!$H$217</definedName>
    <definedName name="HayOnlyKind5" localSheetId="8">'[1]Step 3. FA Balance'!$H$217</definedName>
    <definedName name="HayOnlyKind5" localSheetId="1">'[1]Step 3. FA Balance'!$H$217</definedName>
    <definedName name="HayOnlyKind5" localSheetId="3">'[1]Step 3. FA Balance'!$H$217</definedName>
    <definedName name="HayOnlyKind5">'Step 3. FA Balance'!$H$217</definedName>
    <definedName name="HayOnlyKind6" localSheetId="16">'[1]Step 3. FA Balance'!$H$218</definedName>
    <definedName name="HayOnlyKind6" localSheetId="6">'[1]Step 3. FA Balance'!$H$218</definedName>
    <definedName name="HayOnlyKind6" localSheetId="11">'[1]Step 3. FA Balance'!$H$218</definedName>
    <definedName name="HayOnlyKind6" localSheetId="4">'[1]Step 3. FA Balance'!$H$218</definedName>
    <definedName name="HayOnlyKind6" localSheetId="9">'[1]Step 3. FA Balance'!$H$218</definedName>
    <definedName name="HayOnlyKind6" localSheetId="10">'[1]Step 3. FA Balance'!$H$218</definedName>
    <definedName name="HayOnlyKind6" localSheetId="7">'[1]Step 3. FA Balance'!$H$218</definedName>
    <definedName name="HayOnlyKind6" localSheetId="8">'[1]Step 3. FA Balance'!$H$218</definedName>
    <definedName name="HayOnlyKind6" localSheetId="1">'[1]Step 3. FA Balance'!$H$218</definedName>
    <definedName name="HayOnlyKind6" localSheetId="3">'[1]Step 3. FA Balance'!$H$218</definedName>
    <definedName name="HayOnlyKind6">'Step 3. FA Balance'!$H$218</definedName>
    <definedName name="HayOnlyKind7" localSheetId="16">'[1]Step 3. FA Balance'!$H$219</definedName>
    <definedName name="HayOnlyKind7" localSheetId="6">'[1]Step 3. FA Balance'!$H$219</definedName>
    <definedName name="HayOnlyKind7" localSheetId="11">'[1]Step 3. FA Balance'!$H$219</definedName>
    <definedName name="HayOnlyKind7" localSheetId="4">'[1]Step 3. FA Balance'!$H$219</definedName>
    <definedName name="HayOnlyKind7" localSheetId="9">'[1]Step 3. FA Balance'!$H$219</definedName>
    <definedName name="HayOnlyKind7" localSheetId="10">'[1]Step 3. FA Balance'!$H$219</definedName>
    <definedName name="HayOnlyKind7" localSheetId="7">'[1]Step 3. FA Balance'!$H$219</definedName>
    <definedName name="HayOnlyKind7" localSheetId="8">'[1]Step 3. FA Balance'!$H$219</definedName>
    <definedName name="HayOnlyKind7" localSheetId="1">'[1]Step 3. FA Balance'!$H$219</definedName>
    <definedName name="HayOnlyKind7" localSheetId="3">'[1]Step 3. FA Balance'!$H$219</definedName>
    <definedName name="HayOnlyKind7">'Step 3. FA Balance'!$H$219</definedName>
    <definedName name="HayOnlyKind8" localSheetId="16">'[1]Step 3. FA Balance'!$H$220</definedName>
    <definedName name="HayOnlyKind8" localSheetId="6">'[1]Step 3. FA Balance'!$H$220</definedName>
    <definedName name="HayOnlyKind8" localSheetId="11">'[1]Step 3. FA Balance'!$H$220</definedName>
    <definedName name="HayOnlyKind8" localSheetId="4">'[1]Step 3. FA Balance'!$H$220</definedName>
    <definedName name="HayOnlyKind8" localSheetId="9">'[1]Step 3. FA Balance'!$H$220</definedName>
    <definedName name="HayOnlyKind8" localSheetId="10">'[1]Step 3. FA Balance'!$H$220</definedName>
    <definedName name="HayOnlyKind8" localSheetId="7">'[1]Step 3. FA Balance'!$H$220</definedName>
    <definedName name="HayOnlyKind8" localSheetId="8">'[1]Step 3. FA Balance'!$H$220</definedName>
    <definedName name="HayOnlyKind8" localSheetId="1">'[1]Step 3. FA Balance'!$H$220</definedName>
    <definedName name="HayOnlyKind8" localSheetId="3">'[1]Step 3. FA Balance'!$H$220</definedName>
    <definedName name="HayOnlyKind8">'Step 3. FA Balance'!$H$220</definedName>
    <definedName name="HayOnlyKind9" localSheetId="16">'[1]Step 3. FA Balance'!$H$221</definedName>
    <definedName name="HayOnlyKind9" localSheetId="6">'[1]Step 3. FA Balance'!$H$221</definedName>
    <definedName name="HayOnlyKind9" localSheetId="11">'[1]Step 3. FA Balance'!$H$221</definedName>
    <definedName name="HayOnlyKind9" localSheetId="4">'[1]Step 3. FA Balance'!$H$221</definedName>
    <definedName name="HayOnlyKind9" localSheetId="9">'[1]Step 3. FA Balance'!$H$221</definedName>
    <definedName name="HayOnlyKind9" localSheetId="10">'[1]Step 3. FA Balance'!$H$221</definedName>
    <definedName name="HayOnlyKind9" localSheetId="7">'[1]Step 3. FA Balance'!$H$221</definedName>
    <definedName name="HayOnlyKind9" localSheetId="8">'[1]Step 3. FA Balance'!$H$221</definedName>
    <definedName name="HayOnlyKind9" localSheetId="1">'[1]Step 3. FA Balance'!$H$221</definedName>
    <definedName name="HayOnlyKind9" localSheetId="3">'[1]Step 3. FA Balance'!$H$221</definedName>
    <definedName name="HayOnlyKind9">'Step 3. FA Balance'!$H$221</definedName>
    <definedName name="HayOnlyMonth1" localSheetId="16">'[1]Step 3. FA Balance'!$K$213</definedName>
    <definedName name="HayOnlyMonth1" localSheetId="6">'[1]Step 3. FA Balance'!$K$213</definedName>
    <definedName name="HayOnlyMonth1" localSheetId="11">'[1]Step 3. FA Balance'!$K$213</definedName>
    <definedName name="HayOnlyMonth1" localSheetId="4">'[1]Step 3. FA Balance'!$K$213</definedName>
    <definedName name="HayOnlyMonth1" localSheetId="9">'[1]Step 3. FA Balance'!$K$213</definedName>
    <definedName name="HayOnlyMonth1" localSheetId="10">'[1]Step 3. FA Balance'!$K$213</definedName>
    <definedName name="HayOnlyMonth1" localSheetId="7">'[1]Step 3. FA Balance'!$K$213</definedName>
    <definedName name="HayOnlyMonth1" localSheetId="8">'[1]Step 3. FA Balance'!$K$213</definedName>
    <definedName name="HayOnlyMonth1" localSheetId="1">'[1]Step 3. FA Balance'!$K$213</definedName>
    <definedName name="HayOnlyMonth1" localSheetId="3">'[1]Step 3. FA Balance'!$K$213</definedName>
    <definedName name="HayOnlyMonth1">'Step 3. FA Balance'!$K$213</definedName>
    <definedName name="HayOnlyMonth10" localSheetId="16">'[1]Step 3. FA Balance'!$K$222</definedName>
    <definedName name="HayOnlyMonth10" localSheetId="6">'[1]Step 3. FA Balance'!$K$222</definedName>
    <definedName name="HayOnlyMonth10" localSheetId="11">'[1]Step 3. FA Balance'!$K$222</definedName>
    <definedName name="HayOnlyMonth10" localSheetId="4">'[1]Step 3. FA Balance'!$K$222</definedName>
    <definedName name="HayOnlyMonth10" localSheetId="9">'[1]Step 3. FA Balance'!$K$222</definedName>
    <definedName name="HayOnlyMonth10" localSheetId="10">'[1]Step 3. FA Balance'!$K$222</definedName>
    <definedName name="HayOnlyMonth10" localSheetId="7">'[1]Step 3. FA Balance'!$K$222</definedName>
    <definedName name="HayOnlyMonth10" localSheetId="8">'[1]Step 3. FA Balance'!$K$222</definedName>
    <definedName name="HayOnlyMonth10" localSheetId="1">'[1]Step 3. FA Balance'!$K$222</definedName>
    <definedName name="HayOnlyMonth10" localSheetId="3">'[1]Step 3. FA Balance'!$K$222</definedName>
    <definedName name="HayOnlyMonth10">'Step 3. FA Balance'!$K$222</definedName>
    <definedName name="HayOnlyMonth2" localSheetId="16">'[1]Step 3. FA Balance'!$K$214</definedName>
    <definedName name="HayOnlyMonth2" localSheetId="6">'[1]Step 3. FA Balance'!$K$214</definedName>
    <definedName name="HayOnlyMonth2" localSheetId="11">'[1]Step 3. FA Balance'!$K$214</definedName>
    <definedName name="HayOnlyMonth2" localSheetId="4">'[1]Step 3. FA Balance'!$K$214</definedName>
    <definedName name="HayOnlyMonth2" localSheetId="9">'[1]Step 3. FA Balance'!$K$214</definedName>
    <definedName name="HayOnlyMonth2" localSheetId="10">'[1]Step 3. FA Balance'!$K$214</definedName>
    <definedName name="HayOnlyMonth2" localSheetId="7">'[1]Step 3. FA Balance'!$K$214</definedName>
    <definedName name="HayOnlyMonth2" localSheetId="8">'[1]Step 3. FA Balance'!$K$214</definedName>
    <definedName name="HayOnlyMonth2" localSheetId="1">'[1]Step 3. FA Balance'!$K$214</definedName>
    <definedName name="HayOnlyMonth2" localSheetId="3">'[1]Step 3. FA Balance'!$K$214</definedName>
    <definedName name="HayOnlyMonth2">'Step 3. FA Balance'!$K$214</definedName>
    <definedName name="HayOnlyMonth3" localSheetId="16">'[1]Step 3. FA Balance'!$K$215</definedName>
    <definedName name="HayOnlyMonth3" localSheetId="6">'[1]Step 3. FA Balance'!$K$215</definedName>
    <definedName name="HayOnlyMonth3" localSheetId="11">'[1]Step 3. FA Balance'!$K$215</definedName>
    <definedName name="HayOnlyMonth3" localSheetId="4">'[1]Step 3. FA Balance'!$K$215</definedName>
    <definedName name="HayOnlyMonth3" localSheetId="9">'[1]Step 3. FA Balance'!$K$215</definedName>
    <definedName name="HayOnlyMonth3" localSheetId="10">'[1]Step 3. FA Balance'!$K$215</definedName>
    <definedName name="HayOnlyMonth3" localSheetId="7">'[1]Step 3. FA Balance'!$K$215</definedName>
    <definedName name="HayOnlyMonth3" localSheetId="8">'[1]Step 3. FA Balance'!$K$215</definedName>
    <definedName name="HayOnlyMonth3" localSheetId="1">'[1]Step 3. FA Balance'!$K$215</definedName>
    <definedName name="HayOnlyMonth3" localSheetId="3">'[1]Step 3. FA Balance'!$K$215</definedName>
    <definedName name="HayOnlyMonth3">'Step 3. FA Balance'!$K$215</definedName>
    <definedName name="HayOnlyMonth4" localSheetId="16">'[1]Step 3. FA Balance'!$K$216</definedName>
    <definedName name="HayOnlyMonth4" localSheetId="6">'[1]Step 3. FA Balance'!$K$216</definedName>
    <definedName name="HayOnlyMonth4" localSheetId="11">'[1]Step 3. FA Balance'!$K$216</definedName>
    <definedName name="HayOnlyMonth4" localSheetId="4">'[1]Step 3. FA Balance'!$K$216</definedName>
    <definedName name="HayOnlyMonth4" localSheetId="9">'[1]Step 3. FA Balance'!$K$216</definedName>
    <definedName name="HayOnlyMonth4" localSheetId="10">'[1]Step 3. FA Balance'!$K$216</definedName>
    <definedName name="HayOnlyMonth4" localSheetId="7">'[1]Step 3. FA Balance'!$K$216</definedName>
    <definedName name="HayOnlyMonth4" localSheetId="8">'[1]Step 3. FA Balance'!$K$216</definedName>
    <definedName name="HayOnlyMonth4" localSheetId="1">'[1]Step 3. FA Balance'!$K$216</definedName>
    <definedName name="HayOnlyMonth4" localSheetId="3">'[1]Step 3. FA Balance'!$K$216</definedName>
    <definedName name="HayOnlyMonth4">'Step 3. FA Balance'!$K$216</definedName>
    <definedName name="HayOnlyMonth5" localSheetId="16">'[1]Step 3. FA Balance'!$K$217</definedName>
    <definedName name="HayOnlyMonth5" localSheetId="6">'[1]Step 3. FA Balance'!$K$217</definedName>
    <definedName name="HayOnlyMonth5" localSheetId="11">'[1]Step 3. FA Balance'!$K$217</definedName>
    <definedName name="HayOnlyMonth5" localSheetId="4">'[1]Step 3. FA Balance'!$K$217</definedName>
    <definedName name="HayOnlyMonth5" localSheetId="9">'[1]Step 3. FA Balance'!$K$217</definedName>
    <definedName name="HayOnlyMonth5" localSheetId="10">'[1]Step 3. FA Balance'!$K$217</definedName>
    <definedName name="HayOnlyMonth5" localSheetId="7">'[1]Step 3. FA Balance'!$K$217</definedName>
    <definedName name="HayOnlyMonth5" localSheetId="8">'[1]Step 3. FA Balance'!$K$217</definedName>
    <definedName name="HayOnlyMonth5" localSheetId="1">'[1]Step 3. FA Balance'!$K$217</definedName>
    <definedName name="HayOnlyMonth5" localSheetId="3">'[1]Step 3. FA Balance'!$K$217</definedName>
    <definedName name="HayOnlyMonth5">'Step 3. FA Balance'!$K$217</definedName>
    <definedName name="HayOnlyMonth6" localSheetId="16">'[1]Step 3. FA Balance'!$K$218</definedName>
    <definedName name="HayOnlyMonth6" localSheetId="6">'[1]Step 3. FA Balance'!$K$218</definedName>
    <definedName name="HayOnlyMonth6" localSheetId="11">'[1]Step 3. FA Balance'!$K$218</definedName>
    <definedName name="HayOnlyMonth6" localSheetId="4">'[1]Step 3. FA Balance'!$K$218</definedName>
    <definedName name="HayOnlyMonth6" localSheetId="9">'[1]Step 3. FA Balance'!$K$218</definedName>
    <definedName name="HayOnlyMonth6" localSheetId="10">'[1]Step 3. FA Balance'!$K$218</definedName>
    <definedName name="HayOnlyMonth6" localSheetId="7">'[1]Step 3. FA Balance'!$K$218</definedName>
    <definedName name="HayOnlyMonth6" localSheetId="8">'[1]Step 3. FA Balance'!$K$218</definedName>
    <definedName name="HayOnlyMonth6" localSheetId="1">'[1]Step 3. FA Balance'!$K$218</definedName>
    <definedName name="HayOnlyMonth6" localSheetId="3">'[1]Step 3. FA Balance'!$K$218</definedName>
    <definedName name="HayOnlyMonth6">'Step 3. FA Balance'!$K$218</definedName>
    <definedName name="HayOnlyMonth7" localSheetId="16">'[1]Step 3. FA Balance'!$K$219</definedName>
    <definedName name="HayOnlyMonth7" localSheetId="6">'[1]Step 3. FA Balance'!$K$219</definedName>
    <definedName name="HayOnlyMonth7" localSheetId="11">'[1]Step 3. FA Balance'!$K$219</definedName>
    <definedName name="HayOnlyMonth7" localSheetId="4">'[1]Step 3. FA Balance'!$K$219</definedName>
    <definedName name="HayOnlyMonth7" localSheetId="9">'[1]Step 3. FA Balance'!$K$219</definedName>
    <definedName name="HayOnlyMonth7" localSheetId="10">'[1]Step 3. FA Balance'!$K$219</definedName>
    <definedName name="HayOnlyMonth7" localSheetId="7">'[1]Step 3. FA Balance'!$K$219</definedName>
    <definedName name="HayOnlyMonth7" localSheetId="8">'[1]Step 3. FA Balance'!$K$219</definedName>
    <definedName name="HayOnlyMonth7" localSheetId="1">'[1]Step 3. FA Balance'!$K$219</definedName>
    <definedName name="HayOnlyMonth7" localSheetId="3">'[1]Step 3. FA Balance'!$K$219</definedName>
    <definedName name="HayOnlyMonth7">'Step 3. FA Balance'!$K$219</definedName>
    <definedName name="HayOnlyMonth8" localSheetId="16">'[1]Step 3. FA Balance'!$K$220</definedName>
    <definedName name="HayOnlyMonth8" localSheetId="6">'[1]Step 3. FA Balance'!$K$220</definedName>
    <definedName name="HayOnlyMonth8" localSheetId="11">'[1]Step 3. FA Balance'!$K$220</definedName>
    <definedName name="HayOnlyMonth8" localSheetId="4">'[1]Step 3. FA Balance'!$K$220</definedName>
    <definedName name="HayOnlyMonth8" localSheetId="9">'[1]Step 3. FA Balance'!$K$220</definedName>
    <definedName name="HayOnlyMonth8" localSheetId="10">'[1]Step 3. FA Balance'!$K$220</definedName>
    <definedName name="HayOnlyMonth8" localSheetId="7">'[1]Step 3. FA Balance'!$K$220</definedName>
    <definedName name="HayOnlyMonth8" localSheetId="8">'[1]Step 3. FA Balance'!$K$220</definedName>
    <definedName name="HayOnlyMonth8" localSheetId="1">'[1]Step 3. FA Balance'!$K$220</definedName>
    <definedName name="HayOnlyMonth8" localSheetId="3">'[1]Step 3. FA Balance'!$K$220</definedName>
    <definedName name="HayOnlyMonth8">'Step 3. FA Balance'!$K$220</definedName>
    <definedName name="HayOnlyMonth9" localSheetId="16">'[1]Step 3. FA Balance'!$K$221</definedName>
    <definedName name="HayOnlyMonth9" localSheetId="6">'[1]Step 3. FA Balance'!$K$221</definedName>
    <definedName name="HayOnlyMonth9" localSheetId="11">'[1]Step 3. FA Balance'!$K$221</definedName>
    <definedName name="HayOnlyMonth9" localSheetId="4">'[1]Step 3. FA Balance'!$K$221</definedName>
    <definedName name="HayOnlyMonth9" localSheetId="9">'[1]Step 3. FA Balance'!$K$221</definedName>
    <definedName name="HayOnlyMonth9" localSheetId="10">'[1]Step 3. FA Balance'!$K$221</definedName>
    <definedName name="HayOnlyMonth9" localSheetId="7">'[1]Step 3. FA Balance'!$K$221</definedName>
    <definedName name="HayOnlyMonth9" localSheetId="8">'[1]Step 3. FA Balance'!$K$221</definedName>
    <definedName name="HayOnlyMonth9" localSheetId="1">'[1]Step 3. FA Balance'!$K$221</definedName>
    <definedName name="HayOnlyMonth9" localSheetId="3">'[1]Step 3. FA Balance'!$K$221</definedName>
    <definedName name="HayOnlyMonth9">'Step 3. FA Balance'!$K$221</definedName>
    <definedName name="HayOnlyYield1" localSheetId="16">'[1]Step 3. FA Balance'!$J$213</definedName>
    <definedName name="HayOnlyYield1" localSheetId="6">'[1]Step 3. FA Balance'!$J$213</definedName>
    <definedName name="HayOnlyYield1" localSheetId="11">'[1]Step 3. FA Balance'!$J$213</definedName>
    <definedName name="HayOnlyYield1" localSheetId="4">'[1]Step 3. FA Balance'!$J$213</definedName>
    <definedName name="HayOnlyYield1" localSheetId="9">'[1]Step 3. FA Balance'!$J$213</definedName>
    <definedName name="HayOnlyYield1" localSheetId="10">'[1]Step 3. FA Balance'!$J$213</definedName>
    <definedName name="HayOnlyYield1" localSheetId="7">'[1]Step 3. FA Balance'!$J$213</definedName>
    <definedName name="HayOnlyYield1" localSheetId="8">'[1]Step 3. FA Balance'!$J$213</definedName>
    <definedName name="HayOnlyYield1" localSheetId="1">'[1]Step 3. FA Balance'!$J$213</definedName>
    <definedName name="HayOnlyYield1" localSheetId="3">'[1]Step 3. FA Balance'!$J$213</definedName>
    <definedName name="HayOnlyYield1">'Step 3. FA Balance'!$J$213</definedName>
    <definedName name="HayOnlyYield10" localSheetId="16">'[1]Step 3. FA Balance'!$J$222</definedName>
    <definedName name="HayOnlyYield10" localSheetId="6">'[1]Step 3. FA Balance'!$J$222</definedName>
    <definedName name="HayOnlyYield10" localSheetId="11">'[1]Step 3. FA Balance'!$J$222</definedName>
    <definedName name="HayOnlyYield10" localSheetId="4">'[1]Step 3. FA Balance'!$J$222</definedName>
    <definedName name="HayOnlyYield10" localSheetId="9">'[1]Step 3. FA Balance'!$J$222</definedName>
    <definedName name="HayOnlyYield10" localSheetId="10">'[1]Step 3. FA Balance'!$J$222</definedName>
    <definedName name="HayOnlyYield10" localSheetId="7">'[1]Step 3. FA Balance'!$J$222</definedName>
    <definedName name="HayOnlyYield10" localSheetId="8">'[1]Step 3. FA Balance'!$J$222</definedName>
    <definedName name="HayOnlyYield10" localSheetId="1">'[1]Step 3. FA Balance'!$J$222</definedName>
    <definedName name="HayOnlyYield10" localSheetId="3">'[1]Step 3. FA Balance'!$J$222</definedName>
    <definedName name="HayOnlyYield10">'Step 3. FA Balance'!$J$222</definedName>
    <definedName name="HayOnlyYield2" localSheetId="16">'[1]Step 3. FA Balance'!$J$214</definedName>
    <definedName name="HayOnlyYield2" localSheetId="6">'[1]Step 3. FA Balance'!$J$214</definedName>
    <definedName name="HayOnlyYield2" localSheetId="11">'[1]Step 3. FA Balance'!$J$214</definedName>
    <definedName name="HayOnlyYield2" localSheetId="4">'[1]Step 3. FA Balance'!$J$214</definedName>
    <definedName name="HayOnlyYield2" localSheetId="9">'[1]Step 3. FA Balance'!$J$214</definedName>
    <definedName name="HayOnlyYield2" localSheetId="10">'[1]Step 3. FA Balance'!$J$214</definedName>
    <definedName name="HayOnlyYield2" localSheetId="7">'[1]Step 3. FA Balance'!$J$214</definedName>
    <definedName name="HayOnlyYield2" localSheetId="8">'[1]Step 3. FA Balance'!$J$214</definedName>
    <definedName name="HayOnlyYield2" localSheetId="1">'[1]Step 3. FA Balance'!$J$214</definedName>
    <definedName name="HayOnlyYield2" localSheetId="3">'[1]Step 3. FA Balance'!$J$214</definedName>
    <definedName name="HayOnlyYield2">'Step 3. FA Balance'!$J$214</definedName>
    <definedName name="HayOnlyYield3" localSheetId="16">'[1]Step 3. FA Balance'!$J$215</definedName>
    <definedName name="HayOnlyYield3" localSheetId="6">'[1]Step 3. FA Balance'!$J$215</definedName>
    <definedName name="HayOnlyYield3" localSheetId="11">'[1]Step 3. FA Balance'!$J$215</definedName>
    <definedName name="HayOnlyYield3" localSheetId="4">'[1]Step 3. FA Balance'!$J$215</definedName>
    <definedName name="HayOnlyYield3" localSheetId="9">'[1]Step 3. FA Balance'!$J$215</definedName>
    <definedName name="HayOnlyYield3" localSheetId="10">'[1]Step 3. FA Balance'!$J$215</definedName>
    <definedName name="HayOnlyYield3" localSheetId="7">'[1]Step 3. FA Balance'!$J$215</definedName>
    <definedName name="HayOnlyYield3" localSheetId="8">'[1]Step 3. FA Balance'!$J$215</definedName>
    <definedName name="HayOnlyYield3" localSheetId="1">'[1]Step 3. FA Balance'!$J$215</definedName>
    <definedName name="HayOnlyYield3" localSheetId="3">'[1]Step 3. FA Balance'!$J$215</definedName>
    <definedName name="HayOnlyYield3">'Step 3. FA Balance'!$J$215</definedName>
    <definedName name="HayOnlyYield4" localSheetId="16">'[1]Step 3. FA Balance'!$J$216</definedName>
    <definedName name="HayOnlyYield4" localSheetId="6">'[1]Step 3. FA Balance'!$J$216</definedName>
    <definedName name="HayOnlyYield4" localSheetId="11">'[1]Step 3. FA Balance'!$J$216</definedName>
    <definedName name="HayOnlyYield4" localSheetId="4">'[1]Step 3. FA Balance'!$J$216</definedName>
    <definedName name="HayOnlyYield4" localSheetId="9">'[1]Step 3. FA Balance'!$J$216</definedName>
    <definedName name="HayOnlyYield4" localSheetId="10">'[1]Step 3. FA Balance'!$J$216</definedName>
    <definedName name="HayOnlyYield4" localSheetId="7">'[1]Step 3. FA Balance'!$J$216</definedName>
    <definedName name="HayOnlyYield4" localSheetId="8">'[1]Step 3. FA Balance'!$J$216</definedName>
    <definedName name="HayOnlyYield4" localSheetId="1">'[1]Step 3. FA Balance'!$J$216</definedName>
    <definedName name="HayOnlyYield4" localSheetId="3">'[1]Step 3. FA Balance'!$J$216</definedName>
    <definedName name="HayOnlyYield4">'Step 3. FA Balance'!$J$216</definedName>
    <definedName name="HayOnlyYield5" localSheetId="16">'[1]Step 3. FA Balance'!$J$217</definedName>
    <definedName name="HayOnlyYield5" localSheetId="6">'[1]Step 3. FA Balance'!$J$217</definedName>
    <definedName name="HayOnlyYield5" localSheetId="11">'[1]Step 3. FA Balance'!$J$217</definedName>
    <definedName name="HayOnlyYield5" localSheetId="4">'[1]Step 3. FA Balance'!$J$217</definedName>
    <definedName name="HayOnlyYield5" localSheetId="9">'[1]Step 3. FA Balance'!$J$217</definedName>
    <definedName name="HayOnlyYield5" localSheetId="10">'[1]Step 3. FA Balance'!$J$217</definedName>
    <definedName name="HayOnlyYield5" localSheetId="7">'[1]Step 3. FA Balance'!$J$217</definedName>
    <definedName name="HayOnlyYield5" localSheetId="8">'[1]Step 3. FA Balance'!$J$217</definedName>
    <definedName name="HayOnlyYield5" localSheetId="1">'[1]Step 3. FA Balance'!$J$217</definedName>
    <definedName name="HayOnlyYield5" localSheetId="3">'[1]Step 3. FA Balance'!$J$217</definedName>
    <definedName name="HayOnlyYield5">'Step 3. FA Balance'!$J$217</definedName>
    <definedName name="HayOnlyYield6" localSheetId="16">'[1]Step 3. FA Balance'!$J$218</definedName>
    <definedName name="HayOnlyYield6" localSheetId="6">'[1]Step 3. FA Balance'!$J$218</definedName>
    <definedName name="HayOnlyYield6" localSheetId="11">'[1]Step 3. FA Balance'!$J$218</definedName>
    <definedName name="HayOnlyYield6" localSheetId="4">'[1]Step 3. FA Balance'!$J$218</definedName>
    <definedName name="HayOnlyYield6" localSheetId="9">'[1]Step 3. FA Balance'!$J$218</definedName>
    <definedName name="HayOnlyYield6" localSheetId="10">'[1]Step 3. FA Balance'!$J$218</definedName>
    <definedName name="HayOnlyYield6" localSheetId="7">'[1]Step 3. FA Balance'!$J$218</definedName>
    <definedName name="HayOnlyYield6" localSheetId="8">'[1]Step 3. FA Balance'!$J$218</definedName>
    <definedName name="HayOnlyYield6" localSheetId="1">'[1]Step 3. FA Balance'!$J$218</definedName>
    <definedName name="HayOnlyYield6" localSheetId="3">'[1]Step 3. FA Balance'!$J$218</definedName>
    <definedName name="HayOnlyYield6">'Step 3. FA Balance'!$J$218</definedName>
    <definedName name="HayOnlyYield7" localSheetId="16">'[1]Step 3. FA Balance'!$J$219</definedName>
    <definedName name="HayOnlyYield7" localSheetId="6">'[1]Step 3. FA Balance'!$J$219</definedName>
    <definedName name="HayOnlyYield7" localSheetId="11">'[1]Step 3. FA Balance'!$J$219</definedName>
    <definedName name="HayOnlyYield7" localSheetId="4">'[1]Step 3. FA Balance'!$J$219</definedName>
    <definedName name="HayOnlyYield7" localSheetId="9">'[1]Step 3. FA Balance'!$J$219</definedName>
    <definedName name="HayOnlyYield7" localSheetId="10">'[1]Step 3. FA Balance'!$J$219</definedName>
    <definedName name="HayOnlyYield7" localSheetId="7">'[1]Step 3. FA Balance'!$J$219</definedName>
    <definedName name="HayOnlyYield7" localSheetId="8">'[1]Step 3. FA Balance'!$J$219</definedName>
    <definedName name="HayOnlyYield7" localSheetId="1">'[1]Step 3. FA Balance'!$J$219</definedName>
    <definedName name="HayOnlyYield7" localSheetId="3">'[1]Step 3. FA Balance'!$J$219</definedName>
    <definedName name="HayOnlyYield7">'Step 3. FA Balance'!$J$219</definedName>
    <definedName name="HayOnlyYield8" localSheetId="16">'[1]Step 3. FA Balance'!$J$220</definedName>
    <definedName name="HayOnlyYield8" localSheetId="6">'[1]Step 3. FA Balance'!$J$220</definedName>
    <definedName name="HayOnlyYield8" localSheetId="11">'[1]Step 3. FA Balance'!$J$220</definedName>
    <definedName name="HayOnlyYield8" localSheetId="4">'[1]Step 3. FA Balance'!$J$220</definedName>
    <definedName name="HayOnlyYield8" localSheetId="9">'[1]Step 3. FA Balance'!$J$220</definedName>
    <definedName name="HayOnlyYield8" localSheetId="10">'[1]Step 3. FA Balance'!$J$220</definedName>
    <definedName name="HayOnlyYield8" localSheetId="7">'[1]Step 3. FA Balance'!$J$220</definedName>
    <definedName name="HayOnlyYield8" localSheetId="8">'[1]Step 3. FA Balance'!$J$220</definedName>
    <definedName name="HayOnlyYield8" localSheetId="1">'[1]Step 3. FA Balance'!$J$220</definedName>
    <definedName name="HayOnlyYield8" localSheetId="3">'[1]Step 3. FA Balance'!$J$220</definedName>
    <definedName name="HayOnlyYield8">'Step 3. FA Balance'!$J$220</definedName>
    <definedName name="HayOnlyYield9" localSheetId="16">'[1]Step 3. FA Balance'!$J$221</definedName>
    <definedName name="HayOnlyYield9" localSheetId="6">'[1]Step 3. FA Balance'!$J$221</definedName>
    <definedName name="HayOnlyYield9" localSheetId="11">'[1]Step 3. FA Balance'!$J$221</definedName>
    <definedName name="HayOnlyYield9" localSheetId="4">'[1]Step 3. FA Balance'!$J$221</definedName>
    <definedName name="HayOnlyYield9" localSheetId="9">'[1]Step 3. FA Balance'!$J$221</definedName>
    <definedName name="HayOnlyYield9" localSheetId="10">'[1]Step 3. FA Balance'!$J$221</definedName>
    <definedName name="HayOnlyYield9" localSheetId="7">'[1]Step 3. FA Balance'!$J$221</definedName>
    <definedName name="HayOnlyYield9" localSheetId="8">'[1]Step 3. FA Balance'!$J$221</definedName>
    <definedName name="HayOnlyYield9" localSheetId="1">'[1]Step 3. FA Balance'!$J$221</definedName>
    <definedName name="HayOnlyYield9" localSheetId="3">'[1]Step 3. FA Balance'!$J$221</definedName>
    <definedName name="HayOnlyYield9">'Step 3. FA Balance'!$J$221</definedName>
    <definedName name="HayProd">Instructions!$D$137</definedName>
    <definedName name="HayRow1">'Step 3. FA Balance'!$160:$160</definedName>
    <definedName name="HayRow10">'Step 3. FA Balance'!$169:$169</definedName>
    <definedName name="HayRow11">'Step 3. FA Balance'!$170:$170</definedName>
    <definedName name="HayRow12">'Step 3. FA Balance'!$171:$171</definedName>
    <definedName name="HayRow13">'Step 3. FA Balance'!$172:$172</definedName>
    <definedName name="HayRow14">'Step 3. FA Balance'!$173:$173</definedName>
    <definedName name="HayRow15">'Step 3. FA Balance'!$174:$174</definedName>
    <definedName name="HayRow16">'Step 3. FA Balance'!$175:$175</definedName>
    <definedName name="HayRow17">'Step 3. FA Balance'!$176:$176</definedName>
    <definedName name="HayRow18">'Step 3. FA Balance'!$177:$177</definedName>
    <definedName name="HayRow19">'Step 3. FA Balance'!$178:$178</definedName>
    <definedName name="HayRow2">'Step 3. FA Balance'!$161:$161</definedName>
    <definedName name="HayRow20">'Step 3. FA Balance'!$179:$179</definedName>
    <definedName name="HayRow21">'Step 3. FA Balance'!$180:$180</definedName>
    <definedName name="HayRow22">'Step 3. FA Balance'!$181:$181</definedName>
    <definedName name="HayRow23">'Step 3. FA Balance'!$182:$182</definedName>
    <definedName name="HayRow24">'Step 3. FA Balance'!$183:$183</definedName>
    <definedName name="HayRow3">'Step 3. FA Balance'!$162:$162</definedName>
    <definedName name="HayRow4">'Step 3. FA Balance'!$163:$163</definedName>
    <definedName name="HayRow5">'Step 3. FA Balance'!$164:$164</definedName>
    <definedName name="HayRow6">'Step 3. FA Balance'!$165:$165</definedName>
    <definedName name="HayRow7">'Step 3. FA Balance'!$166:$166</definedName>
    <definedName name="HayRow8">'Step 3. FA Balance'!$167:$167</definedName>
    <definedName name="HayRow9">'Step 3. FA Balance'!$168:$168</definedName>
    <definedName name="HayYield1" localSheetId="16">'[1]Step 3. FA Balance'!$J$160</definedName>
    <definedName name="HayYield1" localSheetId="6">'[1]Step 3. FA Balance'!$J$160</definedName>
    <definedName name="HayYield1" localSheetId="11">'[1]Step 3. FA Balance'!$J$160</definedName>
    <definedName name="HayYield1" localSheetId="4">'[1]Step 3. FA Balance'!$J$160</definedName>
    <definedName name="HayYield1" localSheetId="9">'[1]Step 3. FA Balance'!$J$160</definedName>
    <definedName name="HayYield1" localSheetId="10">'[1]Step 3. FA Balance'!$J$160</definedName>
    <definedName name="HayYield1" localSheetId="7">'[1]Step 3. FA Balance'!$J$160</definedName>
    <definedName name="HayYield1" localSheetId="8">'[1]Step 3. FA Balance'!$J$160</definedName>
    <definedName name="HayYield1" localSheetId="1">'[1]Step 3. FA Balance'!$J$160</definedName>
    <definedName name="HayYield1" localSheetId="3">'[1]Step 3. FA Balance'!$J$160</definedName>
    <definedName name="HayYield1">'Step 3. FA Balance'!$J$160</definedName>
    <definedName name="HayYield10" localSheetId="16">'[1]Step 3. FA Balance'!$J$169</definedName>
    <definedName name="HayYield10" localSheetId="6">'[1]Step 3. FA Balance'!$J$169</definedName>
    <definedName name="HayYield10" localSheetId="11">'[1]Step 3. FA Balance'!$J$169</definedName>
    <definedName name="HayYield10" localSheetId="4">'[1]Step 3. FA Balance'!$J$169</definedName>
    <definedName name="HayYield10" localSheetId="9">'[1]Step 3. FA Balance'!$J$169</definedName>
    <definedName name="HayYield10" localSheetId="10">'[1]Step 3. FA Balance'!$J$169</definedName>
    <definedName name="HayYield10" localSheetId="7">'[1]Step 3. FA Balance'!$J$169</definedName>
    <definedName name="HayYield10" localSheetId="8">'[1]Step 3. FA Balance'!$J$169</definedName>
    <definedName name="HayYield10" localSheetId="1">'[1]Step 3. FA Balance'!$J$169</definedName>
    <definedName name="HayYield10" localSheetId="3">'[1]Step 3. FA Balance'!$J$169</definedName>
    <definedName name="HayYield10">'Step 3. FA Balance'!$J$169</definedName>
    <definedName name="HayYield11" localSheetId="16">'[1]Step 3. FA Balance'!$J$170</definedName>
    <definedName name="HayYield11" localSheetId="6">'[1]Step 3. FA Balance'!$J$170</definedName>
    <definedName name="HayYield11" localSheetId="11">'[1]Step 3. FA Balance'!$J$170</definedName>
    <definedName name="HayYield11" localSheetId="4">'[1]Step 3. FA Balance'!$J$170</definedName>
    <definedName name="HayYield11" localSheetId="9">'[1]Step 3. FA Balance'!$J$170</definedName>
    <definedName name="HayYield11" localSheetId="10">'[1]Step 3. FA Balance'!$J$170</definedName>
    <definedName name="HayYield11" localSheetId="7">'[1]Step 3. FA Balance'!$J$170</definedName>
    <definedName name="HayYield11" localSheetId="8">'[1]Step 3. FA Balance'!$J$170</definedName>
    <definedName name="HayYield11" localSheetId="1">'[1]Step 3. FA Balance'!$J$170</definedName>
    <definedName name="HayYield11" localSheetId="3">'[1]Step 3. FA Balance'!$J$170</definedName>
    <definedName name="HayYield11">'Step 3. FA Balance'!$J$170</definedName>
    <definedName name="HayYield12" localSheetId="16">'[1]Step 3. FA Balance'!$J$171</definedName>
    <definedName name="HayYield12" localSheetId="6">'[1]Step 3. FA Balance'!$J$171</definedName>
    <definedName name="HayYield12" localSheetId="11">'[1]Step 3. FA Balance'!$J$171</definedName>
    <definedName name="HayYield12" localSheetId="4">'[1]Step 3. FA Balance'!$J$171</definedName>
    <definedName name="HayYield12" localSheetId="9">'[1]Step 3. FA Balance'!$J$171</definedName>
    <definedName name="HayYield12" localSheetId="10">'[1]Step 3. FA Balance'!$J$171</definedName>
    <definedName name="HayYield12" localSheetId="7">'[1]Step 3. FA Balance'!$J$171</definedName>
    <definedName name="HayYield12" localSheetId="8">'[1]Step 3. FA Balance'!$J$171</definedName>
    <definedName name="HayYield12" localSheetId="1">'[1]Step 3. FA Balance'!$J$171</definedName>
    <definedName name="HayYield12" localSheetId="3">'[1]Step 3. FA Balance'!$J$171</definedName>
    <definedName name="HayYield12">'Step 3. FA Balance'!$J$171</definedName>
    <definedName name="HayYield13" localSheetId="16">'[1]Step 3. FA Balance'!$J$172</definedName>
    <definedName name="HayYield13" localSheetId="6">'[1]Step 3. FA Balance'!$J$172</definedName>
    <definedName name="HayYield13" localSheetId="11">'[1]Step 3. FA Balance'!$J$172</definedName>
    <definedName name="HayYield13" localSheetId="4">'[1]Step 3. FA Balance'!$J$172</definedName>
    <definedName name="HayYield13" localSheetId="9">'[1]Step 3. FA Balance'!$J$172</definedName>
    <definedName name="HayYield13" localSheetId="10">'[1]Step 3. FA Balance'!$J$172</definedName>
    <definedName name="HayYield13" localSheetId="7">'[1]Step 3. FA Balance'!$J$172</definedName>
    <definedName name="HayYield13" localSheetId="8">'[1]Step 3. FA Balance'!$J$172</definedName>
    <definedName name="HayYield13" localSheetId="1">'[1]Step 3. FA Balance'!$J$172</definedName>
    <definedName name="HayYield13" localSheetId="3">'[1]Step 3. FA Balance'!$J$172</definedName>
    <definedName name="HayYield13">'Step 3. FA Balance'!$J$172</definedName>
    <definedName name="HayYield14" localSheetId="16">'[1]Step 3. FA Balance'!$J$173</definedName>
    <definedName name="HayYield14" localSheetId="6">'[1]Step 3. FA Balance'!$J$173</definedName>
    <definedName name="HayYield14" localSheetId="11">'[1]Step 3. FA Balance'!$J$173</definedName>
    <definedName name="HayYield14" localSheetId="4">'[1]Step 3. FA Balance'!$J$173</definedName>
    <definedName name="HayYield14" localSheetId="9">'[1]Step 3. FA Balance'!$J$173</definedName>
    <definedName name="HayYield14" localSheetId="10">'[1]Step 3. FA Balance'!$J$173</definedName>
    <definedName name="HayYield14" localSheetId="7">'[1]Step 3. FA Balance'!$J$173</definedName>
    <definedName name="HayYield14" localSheetId="8">'[1]Step 3. FA Balance'!$J$173</definedName>
    <definedName name="HayYield14" localSheetId="1">'[1]Step 3. FA Balance'!$J$173</definedName>
    <definedName name="HayYield14" localSheetId="3">'[1]Step 3. FA Balance'!$J$173</definedName>
    <definedName name="HayYield14">'Step 3. FA Balance'!$J$173</definedName>
    <definedName name="HayYield15" localSheetId="16">'[1]Step 3. FA Balance'!$J$174</definedName>
    <definedName name="HayYield15" localSheetId="6">'[1]Step 3. FA Balance'!$J$174</definedName>
    <definedName name="HayYield15" localSheetId="11">'[1]Step 3. FA Balance'!$J$174</definedName>
    <definedName name="HayYield15" localSheetId="4">'[1]Step 3. FA Balance'!$J$174</definedName>
    <definedName name="HayYield15" localSheetId="9">'[1]Step 3. FA Balance'!$J$174</definedName>
    <definedName name="HayYield15" localSheetId="10">'[1]Step 3. FA Balance'!$J$174</definedName>
    <definedName name="HayYield15" localSheetId="7">'[1]Step 3. FA Balance'!$J$174</definedName>
    <definedName name="HayYield15" localSheetId="8">'[1]Step 3. FA Balance'!$J$174</definedName>
    <definedName name="HayYield15" localSheetId="1">'[1]Step 3. FA Balance'!$J$174</definedName>
    <definedName name="HayYield15" localSheetId="3">'[1]Step 3. FA Balance'!$J$174</definedName>
    <definedName name="HayYield15">'Step 3. FA Balance'!$J$174</definedName>
    <definedName name="HayYield2" localSheetId="16">'[1]Step 3. FA Balance'!$J$161</definedName>
    <definedName name="HayYield2" localSheetId="6">'[1]Step 3. FA Balance'!$J$161</definedName>
    <definedName name="HayYield2" localSheetId="11">'[1]Step 3. FA Balance'!$J$161</definedName>
    <definedName name="HayYield2" localSheetId="4">'[1]Step 3. FA Balance'!$J$161</definedName>
    <definedName name="HayYield2" localSheetId="9">'[1]Step 3. FA Balance'!$J$161</definedName>
    <definedName name="HayYield2" localSheetId="10">'[1]Step 3. FA Balance'!$J$161</definedName>
    <definedName name="HayYield2" localSheetId="7">'[1]Step 3. FA Balance'!$J$161</definedName>
    <definedName name="HayYield2" localSheetId="8">'[1]Step 3. FA Balance'!$J$161</definedName>
    <definedName name="HayYield2" localSheetId="1">'[1]Step 3. FA Balance'!$J$161</definedName>
    <definedName name="HayYield2" localSheetId="3">'[1]Step 3. FA Balance'!$J$161</definedName>
    <definedName name="HayYield2">'Step 3. FA Balance'!$J$161</definedName>
    <definedName name="HayYield3" localSheetId="16">'[1]Step 3. FA Balance'!$J$162</definedName>
    <definedName name="HayYield3" localSheetId="6">'[1]Step 3. FA Balance'!$J$162</definedName>
    <definedName name="HayYield3" localSheetId="11">'[1]Step 3. FA Balance'!$J$162</definedName>
    <definedName name="HayYield3" localSheetId="4">'[1]Step 3. FA Balance'!$J$162</definedName>
    <definedName name="HayYield3" localSheetId="9">'[1]Step 3. FA Balance'!$J$162</definedName>
    <definedName name="HayYield3" localSheetId="10">'[1]Step 3. FA Balance'!$J$162</definedName>
    <definedName name="HayYield3" localSheetId="7">'[1]Step 3. FA Balance'!$J$162</definedName>
    <definedName name="HayYield3" localSheetId="8">'[1]Step 3. FA Balance'!$J$162</definedName>
    <definedName name="HayYield3" localSheetId="1">'[1]Step 3. FA Balance'!$J$162</definedName>
    <definedName name="HayYield3" localSheetId="3">'[1]Step 3. FA Balance'!$J$162</definedName>
    <definedName name="HayYield3">'Step 3. FA Balance'!$J$162</definedName>
    <definedName name="HayYield4" localSheetId="16">'[1]Step 3. FA Balance'!$J$163</definedName>
    <definedName name="HayYield4" localSheetId="6">'[1]Step 3. FA Balance'!$J$163</definedName>
    <definedName name="HayYield4" localSheetId="11">'[1]Step 3. FA Balance'!$J$163</definedName>
    <definedName name="HayYield4" localSheetId="4">'[1]Step 3. FA Balance'!$J$163</definedName>
    <definedName name="HayYield4" localSheetId="9">'[1]Step 3. FA Balance'!$J$163</definedName>
    <definedName name="HayYield4" localSheetId="10">'[1]Step 3. FA Balance'!$J$163</definedName>
    <definedName name="HayYield4" localSheetId="7">'[1]Step 3. FA Balance'!$J$163</definedName>
    <definedName name="HayYield4" localSheetId="8">'[1]Step 3. FA Balance'!$J$163</definedName>
    <definedName name="HayYield4" localSheetId="1">'[1]Step 3. FA Balance'!$J$163</definedName>
    <definedName name="HayYield4" localSheetId="3">'[1]Step 3. FA Balance'!$J$163</definedName>
    <definedName name="HayYield4">'Step 3. FA Balance'!$J$163</definedName>
    <definedName name="HayYield5" localSheetId="16">'[1]Step 3. FA Balance'!$J$164</definedName>
    <definedName name="HayYield5" localSheetId="6">'[1]Step 3. FA Balance'!$J$164</definedName>
    <definedName name="HayYield5" localSheetId="11">'[1]Step 3. FA Balance'!$J$164</definedName>
    <definedName name="HayYield5" localSheetId="4">'[1]Step 3. FA Balance'!$J$164</definedName>
    <definedName name="HayYield5" localSheetId="9">'[1]Step 3. FA Balance'!$J$164</definedName>
    <definedName name="HayYield5" localSheetId="10">'[1]Step 3. FA Balance'!$J$164</definedName>
    <definedName name="HayYield5" localSheetId="7">'[1]Step 3. FA Balance'!$J$164</definedName>
    <definedName name="HayYield5" localSheetId="8">'[1]Step 3. FA Balance'!$J$164</definedName>
    <definedName name="HayYield5" localSheetId="1">'[1]Step 3. FA Balance'!$J$164</definedName>
    <definedName name="HayYield5" localSheetId="3">'[1]Step 3. FA Balance'!$J$164</definedName>
    <definedName name="HayYield5">'Step 3. FA Balance'!$J$164</definedName>
    <definedName name="HayYield6" localSheetId="16">'[1]Step 3. FA Balance'!$J$165</definedName>
    <definedName name="HayYield6" localSheetId="6">'[1]Step 3. FA Balance'!$J$165</definedName>
    <definedName name="HayYield6" localSheetId="11">'[1]Step 3. FA Balance'!$J$165</definedName>
    <definedName name="HayYield6" localSheetId="4">'[1]Step 3. FA Balance'!$J$165</definedName>
    <definedName name="HayYield6" localSheetId="9">'[1]Step 3. FA Balance'!$J$165</definedName>
    <definedName name="HayYield6" localSheetId="10">'[1]Step 3. FA Balance'!$J$165</definedName>
    <definedName name="HayYield6" localSheetId="7">'[1]Step 3. FA Balance'!$J$165</definedName>
    <definedName name="HayYield6" localSheetId="8">'[1]Step 3. FA Balance'!$J$165</definedName>
    <definedName name="HayYield6" localSheetId="1">'[1]Step 3. FA Balance'!$J$165</definedName>
    <definedName name="HayYield6" localSheetId="3">'[1]Step 3. FA Balance'!$J$165</definedName>
    <definedName name="HayYield6">'Step 3. FA Balance'!$J$165</definedName>
    <definedName name="HayYield7" localSheetId="16">'[1]Step 3. FA Balance'!$J$166</definedName>
    <definedName name="HayYield7" localSheetId="6">'[1]Step 3. FA Balance'!$J$166</definedName>
    <definedName name="HayYield7" localSheetId="11">'[1]Step 3. FA Balance'!$J$166</definedName>
    <definedName name="HayYield7" localSheetId="4">'[1]Step 3. FA Balance'!$J$166</definedName>
    <definedName name="HayYield7" localSheetId="9">'[1]Step 3. FA Balance'!$J$166</definedName>
    <definedName name="HayYield7" localSheetId="10">'[1]Step 3. FA Balance'!$J$166</definedName>
    <definedName name="HayYield7" localSheetId="7">'[1]Step 3. FA Balance'!$J$166</definedName>
    <definedName name="HayYield7" localSheetId="8">'[1]Step 3. FA Balance'!$J$166</definedName>
    <definedName name="HayYield7" localSheetId="1">'[1]Step 3. FA Balance'!$J$166</definedName>
    <definedName name="HayYield7" localSheetId="3">'[1]Step 3. FA Balance'!$J$166</definedName>
    <definedName name="HayYield7">'Step 3. FA Balance'!$J$166</definedName>
    <definedName name="HayYield8" localSheetId="16">'[1]Step 3. FA Balance'!$J$167</definedName>
    <definedName name="HayYield8" localSheetId="6">'[1]Step 3. FA Balance'!$J$167</definedName>
    <definedName name="HayYield8" localSheetId="11">'[1]Step 3. FA Balance'!$J$167</definedName>
    <definedName name="HayYield8" localSheetId="4">'[1]Step 3. FA Balance'!$J$167</definedName>
    <definedName name="HayYield8" localSheetId="9">'[1]Step 3. FA Balance'!$J$167</definedName>
    <definedName name="HayYield8" localSheetId="10">'[1]Step 3. FA Balance'!$J$167</definedName>
    <definedName name="HayYield8" localSheetId="7">'[1]Step 3. FA Balance'!$J$167</definedName>
    <definedName name="HayYield8" localSheetId="8">'[1]Step 3. FA Balance'!$J$167</definedName>
    <definedName name="HayYield8" localSheetId="1">'[1]Step 3. FA Balance'!$J$167</definedName>
    <definedName name="HayYield8" localSheetId="3">'[1]Step 3. FA Balance'!$J$167</definedName>
    <definedName name="HayYield8">'Step 3. FA Balance'!$J$167</definedName>
    <definedName name="HayYield9" localSheetId="16">'[1]Step 3. FA Balance'!$J$168</definedName>
    <definedName name="HayYield9" localSheetId="6">'[1]Step 3. FA Balance'!$J$168</definedName>
    <definedName name="HayYield9" localSheetId="11">'[1]Step 3. FA Balance'!$J$168</definedName>
    <definedName name="HayYield9" localSheetId="4">'[1]Step 3. FA Balance'!$J$168</definedName>
    <definedName name="HayYield9" localSheetId="9">'[1]Step 3. FA Balance'!$J$168</definedName>
    <definedName name="HayYield9" localSheetId="10">'[1]Step 3. FA Balance'!$J$168</definedName>
    <definedName name="HayYield9" localSheetId="7">'[1]Step 3. FA Balance'!$J$168</definedName>
    <definedName name="HayYield9" localSheetId="8">'[1]Step 3. FA Balance'!$J$168</definedName>
    <definedName name="HayYield9" localSheetId="1">'[1]Step 3. FA Balance'!$J$168</definedName>
    <definedName name="HayYield9" localSheetId="3">'[1]Step 3. FA Balance'!$J$168</definedName>
    <definedName name="HayYield9">'Step 3. FA Balance'!$J$168</definedName>
    <definedName name="Horses">'Step 3. FA Balance'!$35:$36</definedName>
    <definedName name="HorsesAltPast" localSheetId="16">[1]AnimalDemandCalculation!$B$100</definedName>
    <definedName name="HorsesAltPast" localSheetId="6">[1]AnimalDemandCalculation!$B$100</definedName>
    <definedName name="HorsesAltPast" localSheetId="11">[1]AnimalDemandCalculation!$B$100</definedName>
    <definedName name="HorsesAltPast" localSheetId="4">[1]AnimalDemandCalculation!$B$100</definedName>
    <definedName name="HorsesAltPast" localSheetId="9">[1]AnimalDemandCalculation!$B$100</definedName>
    <definedName name="HorsesAltPast" localSheetId="10">[1]AnimalDemandCalculation!$B$100</definedName>
    <definedName name="HorsesAltPast" localSheetId="7">[1]AnimalDemandCalculation!$B$100</definedName>
    <definedName name="HorsesAltPast" localSheetId="8">[1]AnimalDemandCalculation!$B$100</definedName>
    <definedName name="HorsesAltPast" localSheetId="1">[1]AnimalDemandCalculation!$B$100</definedName>
    <definedName name="HorsesAltPast" localSheetId="3">[1]AnimalDemandCalculation!$B$100</definedName>
    <definedName name="HorsesAltPast">Calculations!$B$100</definedName>
    <definedName name="HorsesCheck" localSheetId="16">[1]AnimalDemandCalculation!$L$52</definedName>
    <definedName name="HorsesCheck" localSheetId="6">[1]AnimalDemandCalculation!$L$52</definedName>
    <definedName name="HorsesCheck" localSheetId="11">[1]AnimalDemandCalculation!$L$52</definedName>
    <definedName name="HorsesCheck" localSheetId="4">[1]AnimalDemandCalculation!$L$52</definedName>
    <definedName name="HorsesCheck" localSheetId="9">[1]AnimalDemandCalculation!$L$52</definedName>
    <definedName name="HorsesCheck" localSheetId="10">[1]AnimalDemandCalculation!$L$52</definedName>
    <definedName name="HorsesCheck" localSheetId="7">[1]AnimalDemandCalculation!$L$52</definedName>
    <definedName name="HorsesCheck" localSheetId="8">[1]AnimalDemandCalculation!$L$52</definedName>
    <definedName name="HorsesCheck" localSheetId="1">[1]AnimalDemandCalculation!$L$52</definedName>
    <definedName name="HorsesCheck" localSheetId="3">[1]AnimalDemandCalculation!$L$52</definedName>
    <definedName name="HorsesCheck">Calculations!$L$52</definedName>
    <definedName name="HorsesDryLot" localSheetId="16">[1]AnimalDemandCalculation!$B$101</definedName>
    <definedName name="HorsesDryLot" localSheetId="6">[1]AnimalDemandCalculation!$B$101</definedName>
    <definedName name="HorsesDryLot" localSheetId="11">[1]AnimalDemandCalculation!$B$101</definedName>
    <definedName name="HorsesDryLot" localSheetId="4">[1]AnimalDemandCalculation!$B$101</definedName>
    <definedName name="HorsesDryLot" localSheetId="9">[1]AnimalDemandCalculation!$B$101</definedName>
    <definedName name="HorsesDryLot" localSheetId="10">[1]AnimalDemandCalculation!$B$101</definedName>
    <definedName name="HorsesDryLot" localSheetId="7">[1]AnimalDemandCalculation!$B$101</definedName>
    <definedName name="HorsesDryLot" localSheetId="8">[1]AnimalDemandCalculation!$B$101</definedName>
    <definedName name="HorsesDryLot" localSheetId="1">[1]AnimalDemandCalculation!$B$101</definedName>
    <definedName name="HorsesDryLot" localSheetId="3">[1]AnimalDemandCalculation!$B$101</definedName>
    <definedName name="HorsesDryLot">Calculations!$B$101</definedName>
    <definedName name="HorsesInput">'Step 3. FA Balance'!$I$35:$K$35</definedName>
    <definedName name="HorsesPast" localSheetId="16">[1]AnimalDemandCalculation!$B$99</definedName>
    <definedName name="HorsesPast" localSheetId="6">[1]AnimalDemandCalculation!$B$99</definedName>
    <definedName name="HorsesPast" localSheetId="11">[1]AnimalDemandCalculation!$B$99</definedName>
    <definedName name="HorsesPast" localSheetId="4">[1]AnimalDemandCalculation!$B$99</definedName>
    <definedName name="HorsesPast" localSheetId="9">[1]AnimalDemandCalculation!$B$99</definedName>
    <definedName name="HorsesPast" localSheetId="10">[1]AnimalDemandCalculation!$B$99</definedName>
    <definedName name="HorsesPast" localSheetId="7">[1]AnimalDemandCalculation!$B$99</definedName>
    <definedName name="HorsesPast" localSheetId="8">[1]AnimalDemandCalculation!$B$99</definedName>
    <definedName name="HorsesPast" localSheetId="1">[1]AnimalDemandCalculation!$B$99</definedName>
    <definedName name="HorsesPast" localSheetId="3">[1]AnimalDemandCalculation!$B$99</definedName>
    <definedName name="HorsesPast">Calculations!$B$99</definedName>
    <definedName name="HorsesSummary">'Step 4. Review Summary'!$19:$19</definedName>
    <definedName name="ID" localSheetId="16">'[1]Step 3. FA Balance'!$H$7</definedName>
    <definedName name="ID" localSheetId="6">'[1]Step 3. FA Balance'!$H$7</definedName>
    <definedName name="ID" localSheetId="11">'[1]Step 3. FA Balance'!$H$7</definedName>
    <definedName name="ID" localSheetId="4">'[1]Step 3. FA Balance'!$H$7</definedName>
    <definedName name="ID" localSheetId="9">'[1]Step 3. FA Balance'!$H$7</definedName>
    <definedName name="ID" localSheetId="10">'[1]Step 3. FA Balance'!$H$7</definedName>
    <definedName name="ID" localSheetId="7">'[1]Step 3. FA Balance'!$H$7</definedName>
    <definedName name="ID" localSheetId="8">'[1]Step 3. FA Balance'!$H$7</definedName>
    <definedName name="ID" localSheetId="1">'[1]Step 3. FA Balance'!$H$7</definedName>
    <definedName name="ID" localSheetId="3">'[1]Step 3. FA Balance'!$H$7</definedName>
    <definedName name="ID">'Step 3. FA Balance'!$H$7</definedName>
    <definedName name="Introduction">Instructions!$C$35</definedName>
    <definedName name="Kind1" localSheetId="16">'[1]Step 3. FA Balance'!$H$103</definedName>
    <definedName name="Kind1" localSheetId="6">'[1]Step 3. FA Balance'!$H$103</definedName>
    <definedName name="Kind1" localSheetId="11">'[1]Step 3. FA Balance'!$H$103</definedName>
    <definedName name="Kind1" localSheetId="4">'[1]Step 3. FA Balance'!$H$103</definedName>
    <definedName name="Kind1" localSheetId="9">'[1]Step 3. FA Balance'!$H$103</definedName>
    <definedName name="Kind1" localSheetId="10">'[1]Step 3. FA Balance'!$H$103</definedName>
    <definedName name="Kind1" localSheetId="7">'[1]Step 3. FA Balance'!$H$103</definedName>
    <definedName name="Kind1" localSheetId="8">'[1]Step 3. FA Balance'!$H$103</definedName>
    <definedName name="Kind1" localSheetId="1">'[1]Step 3. FA Balance'!$H$103</definedName>
    <definedName name="Kind1" localSheetId="3">'[1]Step 3. FA Balance'!$H$103</definedName>
    <definedName name="Kind1">'Step 3. FA Balance'!$H$103</definedName>
    <definedName name="Kind10" localSheetId="16">'[1]Step 3. FA Balance'!$H$121</definedName>
    <definedName name="Kind10" localSheetId="6">'[1]Step 3. FA Balance'!$H$121</definedName>
    <definedName name="Kind10" localSheetId="11">'[1]Step 3. FA Balance'!$H$121</definedName>
    <definedName name="Kind10" localSheetId="4">'[1]Step 3. FA Balance'!$H$121</definedName>
    <definedName name="Kind10" localSheetId="9">'[1]Step 3. FA Balance'!$H$121</definedName>
    <definedName name="Kind10" localSheetId="10">'[1]Step 3. FA Balance'!$H$121</definedName>
    <definedName name="Kind10" localSheetId="7">'[1]Step 3. FA Balance'!$H$121</definedName>
    <definedName name="Kind10" localSheetId="8">'[1]Step 3. FA Balance'!$H$121</definedName>
    <definedName name="Kind10" localSheetId="1">'[1]Step 3. FA Balance'!$H$121</definedName>
    <definedName name="Kind10" localSheetId="3">'[1]Step 3. FA Balance'!$H$121</definedName>
    <definedName name="Kind10">'Step 3. FA Balance'!$H$121</definedName>
    <definedName name="Kind11" localSheetId="16">'[1]Step 3. FA Balance'!$H$123</definedName>
    <definedName name="Kind11" localSheetId="6">'[1]Step 3. FA Balance'!$H$123</definedName>
    <definedName name="Kind11" localSheetId="11">'[1]Step 3. FA Balance'!$H$123</definedName>
    <definedName name="Kind11" localSheetId="4">'[1]Step 3. FA Balance'!$H$123</definedName>
    <definedName name="Kind11" localSheetId="9">'[1]Step 3. FA Balance'!$H$123</definedName>
    <definedName name="Kind11" localSheetId="10">'[1]Step 3. FA Balance'!$H$123</definedName>
    <definedName name="Kind11" localSheetId="7">'[1]Step 3. FA Balance'!$H$123</definedName>
    <definedName name="Kind11" localSheetId="8">'[1]Step 3. FA Balance'!$H$123</definedName>
    <definedName name="Kind11" localSheetId="1">'[1]Step 3. FA Balance'!$H$123</definedName>
    <definedName name="Kind11" localSheetId="3">'[1]Step 3. FA Balance'!$H$123</definedName>
    <definedName name="Kind11">'Step 3. FA Balance'!$H$123</definedName>
    <definedName name="Kind12" localSheetId="16">'[1]Step 3. FA Balance'!$H$125</definedName>
    <definedName name="Kind12" localSheetId="6">'[1]Step 3. FA Balance'!$H$125</definedName>
    <definedName name="Kind12" localSheetId="11">'[1]Step 3. FA Balance'!$H$125</definedName>
    <definedName name="Kind12" localSheetId="4">'[1]Step 3. FA Balance'!$H$125</definedName>
    <definedName name="Kind12" localSheetId="9">'[1]Step 3. FA Balance'!$H$125</definedName>
    <definedName name="Kind12" localSheetId="10">'[1]Step 3. FA Balance'!$H$125</definedName>
    <definedName name="Kind12" localSheetId="7">'[1]Step 3. FA Balance'!$H$125</definedName>
    <definedName name="Kind12" localSheetId="8">'[1]Step 3. FA Balance'!$H$125</definedName>
    <definedName name="Kind12" localSheetId="1">'[1]Step 3. FA Balance'!$H$125</definedName>
    <definedName name="Kind12" localSheetId="3">'[1]Step 3. FA Balance'!$H$125</definedName>
    <definedName name="Kind12">'Step 3. FA Balance'!$H$125</definedName>
    <definedName name="Kind13" localSheetId="16">'[1]Step 3. FA Balance'!$H$127</definedName>
    <definedName name="Kind13" localSheetId="6">'[1]Step 3. FA Balance'!$H$127</definedName>
    <definedName name="Kind13" localSheetId="11">'[1]Step 3. FA Balance'!$H$127</definedName>
    <definedName name="Kind13" localSheetId="4">'[1]Step 3. FA Balance'!$H$127</definedName>
    <definedName name="Kind13" localSheetId="9">'[1]Step 3. FA Balance'!$H$127</definedName>
    <definedName name="Kind13" localSheetId="10">'[1]Step 3. FA Balance'!$H$127</definedName>
    <definedName name="Kind13" localSheetId="7">'[1]Step 3. FA Balance'!$H$127</definedName>
    <definedName name="Kind13" localSheetId="8">'[1]Step 3. FA Balance'!$H$127</definedName>
    <definedName name="Kind13" localSheetId="1">'[1]Step 3. FA Balance'!$H$127</definedName>
    <definedName name="Kind13" localSheetId="3">'[1]Step 3. FA Balance'!$H$127</definedName>
    <definedName name="Kind13">'Step 3. FA Balance'!$H$127</definedName>
    <definedName name="Kind14" localSheetId="16">'[1]Step 3. FA Balance'!$H$129</definedName>
    <definedName name="Kind14" localSheetId="6">'[1]Step 3. FA Balance'!$H$129</definedName>
    <definedName name="Kind14" localSheetId="11">'[1]Step 3. FA Balance'!$H$129</definedName>
    <definedName name="Kind14" localSheetId="4">'[1]Step 3. FA Balance'!$H$129</definedName>
    <definedName name="Kind14" localSheetId="9">'[1]Step 3. FA Balance'!$H$129</definedName>
    <definedName name="Kind14" localSheetId="10">'[1]Step 3. FA Balance'!$H$129</definedName>
    <definedName name="Kind14" localSheetId="7">'[1]Step 3. FA Balance'!$H$129</definedName>
    <definedName name="Kind14" localSheetId="8">'[1]Step 3. FA Balance'!$H$129</definedName>
    <definedName name="Kind14" localSheetId="1">'[1]Step 3. FA Balance'!$H$129</definedName>
    <definedName name="Kind14" localSheetId="3">'[1]Step 3. FA Balance'!$H$129</definedName>
    <definedName name="Kind14">'Step 3. FA Balance'!$H$129</definedName>
    <definedName name="Kind15" localSheetId="16">'[1]Step 3. FA Balance'!$H$131</definedName>
    <definedName name="Kind15" localSheetId="6">'[1]Step 3. FA Balance'!$H$131</definedName>
    <definedName name="Kind15" localSheetId="11">'[1]Step 3. FA Balance'!$H$131</definedName>
    <definedName name="Kind15" localSheetId="4">'[1]Step 3. FA Balance'!$H$131</definedName>
    <definedName name="Kind15" localSheetId="9">'[1]Step 3. FA Balance'!$H$131</definedName>
    <definedName name="Kind15" localSheetId="10">'[1]Step 3. FA Balance'!$H$131</definedName>
    <definedName name="Kind15" localSheetId="7">'[1]Step 3. FA Balance'!$H$131</definedName>
    <definedName name="Kind15" localSheetId="8">'[1]Step 3. FA Balance'!$H$131</definedName>
    <definedName name="Kind15" localSheetId="1">'[1]Step 3. FA Balance'!$H$131</definedName>
    <definedName name="Kind15" localSheetId="3">'[1]Step 3. FA Balance'!$H$131</definedName>
    <definedName name="Kind15">'Step 3. FA Balance'!$H$131</definedName>
    <definedName name="Kind16" localSheetId="16">'[1]Step 3. FA Balance'!$H$133</definedName>
    <definedName name="Kind16" localSheetId="6">'[1]Step 3. FA Balance'!$H$133</definedName>
    <definedName name="Kind16" localSheetId="11">'[1]Step 3. FA Balance'!$H$133</definedName>
    <definedName name="Kind16" localSheetId="4">'[1]Step 3. FA Balance'!$H$133</definedName>
    <definedName name="Kind16" localSheetId="9">'[1]Step 3. FA Balance'!$H$133</definedName>
    <definedName name="Kind16" localSheetId="10">'[1]Step 3. FA Balance'!$H$133</definedName>
    <definedName name="Kind16" localSheetId="7">'[1]Step 3. FA Balance'!$H$133</definedName>
    <definedName name="Kind16" localSheetId="8">'[1]Step 3. FA Balance'!$H$133</definedName>
    <definedName name="Kind16" localSheetId="1">'[1]Step 3. FA Balance'!$H$133</definedName>
    <definedName name="Kind16" localSheetId="3">'[1]Step 3. FA Balance'!$H$133</definedName>
    <definedName name="Kind16">'Step 3. FA Balance'!$H$133</definedName>
    <definedName name="Kind17" localSheetId="16">'[1]Step 3. FA Balance'!$H$135</definedName>
    <definedName name="Kind17" localSheetId="6">'[1]Step 3. FA Balance'!$H$135</definedName>
    <definedName name="Kind17" localSheetId="11">'[1]Step 3. FA Balance'!$H$135</definedName>
    <definedName name="Kind17" localSheetId="4">'[1]Step 3. FA Balance'!$H$135</definedName>
    <definedName name="Kind17" localSheetId="9">'[1]Step 3. FA Balance'!$H$135</definedName>
    <definedName name="Kind17" localSheetId="10">'[1]Step 3. FA Balance'!$H$135</definedName>
    <definedName name="Kind17" localSheetId="7">'[1]Step 3. FA Balance'!$H$135</definedName>
    <definedName name="Kind17" localSheetId="8">'[1]Step 3. FA Balance'!$H$135</definedName>
    <definedName name="Kind17" localSheetId="1">'[1]Step 3. FA Balance'!$H$135</definedName>
    <definedName name="Kind17" localSheetId="3">'[1]Step 3. FA Balance'!$H$135</definedName>
    <definedName name="Kind17">'Step 3. FA Balance'!$H$135</definedName>
    <definedName name="Kind18" localSheetId="16">'[1]Step 3. FA Balance'!$H$137</definedName>
    <definedName name="Kind18" localSheetId="6">'[1]Step 3. FA Balance'!$H$137</definedName>
    <definedName name="Kind18" localSheetId="11">'[1]Step 3. FA Balance'!$H$137</definedName>
    <definedName name="Kind18" localSheetId="4">'[1]Step 3. FA Balance'!$H$137</definedName>
    <definedName name="Kind18" localSheetId="9">'[1]Step 3. FA Balance'!$H$137</definedName>
    <definedName name="Kind18" localSheetId="10">'[1]Step 3. FA Balance'!$H$137</definedName>
    <definedName name="Kind18" localSheetId="7">'[1]Step 3. FA Balance'!$H$137</definedName>
    <definedName name="Kind18" localSheetId="8">'[1]Step 3. FA Balance'!$H$137</definedName>
    <definedName name="Kind18" localSheetId="1">'[1]Step 3. FA Balance'!$H$137</definedName>
    <definedName name="Kind18" localSheetId="3">'[1]Step 3. FA Balance'!$H$137</definedName>
    <definedName name="Kind18">'Step 3. FA Balance'!$H$137</definedName>
    <definedName name="Kind19" localSheetId="16">'[1]Step 3. FA Balance'!$H$139</definedName>
    <definedName name="Kind19" localSheetId="6">'[1]Step 3. FA Balance'!$H$139</definedName>
    <definedName name="Kind19" localSheetId="11">'[1]Step 3. FA Balance'!$H$139</definedName>
    <definedName name="Kind19" localSheetId="4">'[1]Step 3. FA Balance'!$H$139</definedName>
    <definedName name="Kind19" localSheetId="9">'[1]Step 3. FA Balance'!$H$139</definedName>
    <definedName name="Kind19" localSheetId="10">'[1]Step 3. FA Balance'!$H$139</definedName>
    <definedName name="Kind19" localSheetId="7">'[1]Step 3. FA Balance'!$H$139</definedName>
    <definedName name="Kind19" localSheetId="8">'[1]Step 3. FA Balance'!$H$139</definedName>
    <definedName name="Kind19" localSheetId="1">'[1]Step 3. FA Balance'!$H$139</definedName>
    <definedName name="Kind19" localSheetId="3">'[1]Step 3. FA Balance'!$H$139</definedName>
    <definedName name="Kind19">'Step 3. FA Balance'!$H$139</definedName>
    <definedName name="Kind2" localSheetId="16">'[1]Step 3. FA Balance'!$H$105</definedName>
    <definedName name="Kind2" localSheetId="6">'[1]Step 3. FA Balance'!$H$105</definedName>
    <definedName name="Kind2" localSheetId="11">'[1]Step 3. FA Balance'!$H$105</definedName>
    <definedName name="Kind2" localSheetId="4">'[1]Step 3. FA Balance'!$H$105</definedName>
    <definedName name="Kind2" localSheetId="9">'[1]Step 3. FA Balance'!$H$105</definedName>
    <definedName name="Kind2" localSheetId="10">'[1]Step 3. FA Balance'!$H$105</definedName>
    <definedName name="Kind2" localSheetId="7">'[1]Step 3. FA Balance'!$H$105</definedName>
    <definedName name="Kind2" localSheetId="8">'[1]Step 3. FA Balance'!$H$105</definedName>
    <definedName name="Kind2" localSheetId="1">'[1]Step 3. FA Balance'!$H$105</definedName>
    <definedName name="Kind2" localSheetId="3">'[1]Step 3. FA Balance'!$H$105</definedName>
    <definedName name="Kind2">'Step 3. FA Balance'!$H$105</definedName>
    <definedName name="Kind20" localSheetId="16">'[1]Step 3. FA Balance'!$H$141</definedName>
    <definedName name="Kind20" localSheetId="6">'[1]Step 3. FA Balance'!$H$141</definedName>
    <definedName name="Kind20" localSheetId="11">'[1]Step 3. FA Balance'!$H$141</definedName>
    <definedName name="Kind20" localSheetId="4">'[1]Step 3. FA Balance'!$H$141</definedName>
    <definedName name="Kind20" localSheetId="9">'[1]Step 3. FA Balance'!$H$141</definedName>
    <definedName name="Kind20" localSheetId="10">'[1]Step 3. FA Balance'!$H$141</definedName>
    <definedName name="Kind20" localSheetId="7">'[1]Step 3. FA Balance'!$H$141</definedName>
    <definedName name="Kind20" localSheetId="8">'[1]Step 3. FA Balance'!$H$141</definedName>
    <definedName name="Kind20" localSheetId="1">'[1]Step 3. FA Balance'!$H$141</definedName>
    <definedName name="Kind20" localSheetId="3">'[1]Step 3. FA Balance'!$H$141</definedName>
    <definedName name="Kind20">'Step 3. FA Balance'!$H$141</definedName>
    <definedName name="Kind21" localSheetId="16">'[1]Step 3. FA Balance'!$H$143</definedName>
    <definedName name="Kind21" localSheetId="6">'[1]Step 3. FA Balance'!$H$143</definedName>
    <definedName name="Kind21" localSheetId="11">'[1]Step 3. FA Balance'!$H$143</definedName>
    <definedName name="Kind21" localSheetId="4">'[1]Step 3. FA Balance'!$H$143</definedName>
    <definedName name="Kind21" localSheetId="9">'[1]Step 3. FA Balance'!$H$143</definedName>
    <definedName name="Kind21" localSheetId="10">'[1]Step 3. FA Balance'!$H$143</definedName>
    <definedName name="Kind21" localSheetId="7">'[1]Step 3. FA Balance'!$H$143</definedName>
    <definedName name="Kind21" localSheetId="8">'[1]Step 3. FA Balance'!$H$143</definedName>
    <definedName name="Kind21" localSheetId="1">'[1]Step 3. FA Balance'!$H$143</definedName>
    <definedName name="Kind21" localSheetId="3">'[1]Step 3. FA Balance'!$H$143</definedName>
    <definedName name="Kind21">'Step 3. FA Balance'!$H$143</definedName>
    <definedName name="Kind22" localSheetId="16">'[1]Step 3. FA Balance'!$H$145</definedName>
    <definedName name="Kind22" localSheetId="6">'[1]Step 3. FA Balance'!$H$145</definedName>
    <definedName name="Kind22" localSheetId="11">'[1]Step 3. FA Balance'!$H$145</definedName>
    <definedName name="Kind22" localSheetId="4">'[1]Step 3. FA Balance'!$H$145</definedName>
    <definedName name="Kind22" localSheetId="9">'[1]Step 3. FA Balance'!$H$145</definedName>
    <definedName name="Kind22" localSheetId="10">'[1]Step 3. FA Balance'!$H$145</definedName>
    <definedName name="Kind22" localSheetId="7">'[1]Step 3. FA Balance'!$H$145</definedName>
    <definedName name="Kind22" localSheetId="8">'[1]Step 3. FA Balance'!$H$145</definedName>
    <definedName name="Kind22" localSheetId="1">'[1]Step 3. FA Balance'!$H$145</definedName>
    <definedName name="Kind22" localSheetId="3">'[1]Step 3. FA Balance'!$H$145</definedName>
    <definedName name="Kind22">'Step 3. FA Balance'!$H$145</definedName>
    <definedName name="Kind23" localSheetId="16">'[1]Step 3. FA Balance'!$H$147</definedName>
    <definedName name="Kind23" localSheetId="6">'[1]Step 3. FA Balance'!$H$147</definedName>
    <definedName name="Kind23" localSheetId="11">'[1]Step 3. FA Balance'!$H$147</definedName>
    <definedName name="Kind23" localSheetId="4">'[1]Step 3. FA Balance'!$H$147</definedName>
    <definedName name="Kind23" localSheetId="9">'[1]Step 3. FA Balance'!$H$147</definedName>
    <definedName name="Kind23" localSheetId="10">'[1]Step 3. FA Balance'!$H$147</definedName>
    <definedName name="Kind23" localSheetId="7">'[1]Step 3. FA Balance'!$H$147</definedName>
    <definedName name="Kind23" localSheetId="8">'[1]Step 3. FA Balance'!$H$147</definedName>
    <definedName name="Kind23" localSheetId="1">'[1]Step 3. FA Balance'!$H$147</definedName>
    <definedName name="Kind23" localSheetId="3">'[1]Step 3. FA Balance'!$H$147</definedName>
    <definedName name="Kind23">'Step 3. FA Balance'!$H$147</definedName>
    <definedName name="Kind24" localSheetId="16">'[1]Step 3. FA Balance'!$H$149</definedName>
    <definedName name="Kind24" localSheetId="6">'[1]Step 3. FA Balance'!$H$149</definedName>
    <definedName name="Kind24" localSheetId="11">'[1]Step 3. FA Balance'!$H$149</definedName>
    <definedName name="Kind24" localSheetId="4">'[1]Step 3. FA Balance'!$H$149</definedName>
    <definedName name="Kind24" localSheetId="9">'[1]Step 3. FA Balance'!$H$149</definedName>
    <definedName name="Kind24" localSheetId="10">'[1]Step 3. FA Balance'!$H$149</definedName>
    <definedName name="Kind24" localSheetId="7">'[1]Step 3. FA Balance'!$H$149</definedName>
    <definedName name="Kind24" localSheetId="8">'[1]Step 3. FA Balance'!$H$149</definedName>
    <definedName name="Kind24" localSheetId="1">'[1]Step 3. FA Balance'!$H$149</definedName>
    <definedName name="Kind24" localSheetId="3">'[1]Step 3. FA Balance'!$H$149</definedName>
    <definedName name="Kind24">'Step 3. FA Balance'!$H$149</definedName>
    <definedName name="Kind3" localSheetId="16">'[1]Step 3. FA Balance'!$H$107</definedName>
    <definedName name="Kind3" localSheetId="6">'[1]Step 3. FA Balance'!$H$107</definedName>
    <definedName name="Kind3" localSheetId="11">'[1]Step 3. FA Balance'!$H$107</definedName>
    <definedName name="Kind3" localSheetId="4">'[1]Step 3. FA Balance'!$H$107</definedName>
    <definedName name="Kind3" localSheetId="9">'[1]Step 3. FA Balance'!$H$107</definedName>
    <definedName name="Kind3" localSheetId="10">'[1]Step 3. FA Balance'!$H$107</definedName>
    <definedName name="Kind3" localSheetId="7">'[1]Step 3. FA Balance'!$H$107</definedName>
    <definedName name="Kind3" localSheetId="8">'[1]Step 3. FA Balance'!$H$107</definedName>
    <definedName name="Kind3" localSheetId="1">'[1]Step 3. FA Balance'!$H$107</definedName>
    <definedName name="Kind3" localSheetId="3">'[1]Step 3. FA Balance'!$H$107</definedName>
    <definedName name="Kind3">'Step 3. FA Balance'!$H$107</definedName>
    <definedName name="Kind4" localSheetId="16">'[1]Step 3. FA Balance'!$H$109</definedName>
    <definedName name="Kind4" localSheetId="6">'[1]Step 3. FA Balance'!$H$109</definedName>
    <definedName name="Kind4" localSheetId="11">'[1]Step 3. FA Balance'!$H$109</definedName>
    <definedName name="Kind4" localSheetId="4">'[1]Step 3. FA Balance'!$H$109</definedName>
    <definedName name="Kind4" localSheetId="9">'[1]Step 3. FA Balance'!$H$109</definedName>
    <definedName name="Kind4" localSheetId="10">'[1]Step 3. FA Balance'!$H$109</definedName>
    <definedName name="Kind4" localSheetId="7">'[1]Step 3. FA Balance'!$H$109</definedName>
    <definedName name="Kind4" localSheetId="8">'[1]Step 3. FA Balance'!$H$109</definedName>
    <definedName name="Kind4" localSheetId="1">'[1]Step 3. FA Balance'!$H$109</definedName>
    <definedName name="Kind4" localSheetId="3">'[1]Step 3. FA Balance'!$H$109</definedName>
    <definedName name="Kind4">'Step 3. FA Balance'!$H$109</definedName>
    <definedName name="Kind5" localSheetId="16">'[1]Step 3. FA Balance'!$H$111</definedName>
    <definedName name="Kind5" localSheetId="6">'[1]Step 3. FA Balance'!$H$111</definedName>
    <definedName name="Kind5" localSheetId="11">'[1]Step 3. FA Balance'!$H$111</definedName>
    <definedName name="Kind5" localSheetId="4">'[1]Step 3. FA Balance'!$H$111</definedName>
    <definedName name="Kind5" localSheetId="9">'[1]Step 3. FA Balance'!$H$111</definedName>
    <definedName name="Kind5" localSheetId="10">'[1]Step 3. FA Balance'!$H$111</definedName>
    <definedName name="Kind5" localSheetId="7">'[1]Step 3. FA Balance'!$H$111</definedName>
    <definedName name="Kind5" localSheetId="8">'[1]Step 3. FA Balance'!$H$111</definedName>
    <definedName name="Kind5" localSheetId="1">'[1]Step 3. FA Balance'!$H$111</definedName>
    <definedName name="Kind5" localSheetId="3">'[1]Step 3. FA Balance'!$H$111</definedName>
    <definedName name="Kind5">'Step 3. FA Balance'!$H$111</definedName>
    <definedName name="Kind6" localSheetId="16">'[1]Step 3. FA Balance'!$H$113</definedName>
    <definedName name="Kind6" localSheetId="6">'[1]Step 3. FA Balance'!$H$113</definedName>
    <definedName name="Kind6" localSheetId="11">'[1]Step 3. FA Balance'!$H$113</definedName>
    <definedName name="Kind6" localSheetId="4">'[1]Step 3. FA Balance'!$H$113</definedName>
    <definedName name="Kind6" localSheetId="9">'[1]Step 3. FA Balance'!$H$113</definedName>
    <definedName name="Kind6" localSheetId="10">'[1]Step 3. FA Balance'!$H$113</definedName>
    <definedName name="Kind6" localSheetId="7">'[1]Step 3. FA Balance'!$H$113</definedName>
    <definedName name="Kind6" localSheetId="8">'[1]Step 3. FA Balance'!$H$113</definedName>
    <definedName name="Kind6" localSheetId="1">'[1]Step 3. FA Balance'!$H$113</definedName>
    <definedName name="Kind6" localSheetId="3">'[1]Step 3. FA Balance'!$H$113</definedName>
    <definedName name="Kind6">'Step 3. FA Balance'!$H$113</definedName>
    <definedName name="Kind7" localSheetId="16">'[1]Step 3. FA Balance'!$H$115</definedName>
    <definedName name="Kind7" localSheetId="6">'[1]Step 3. FA Balance'!$H$115</definedName>
    <definedName name="Kind7" localSheetId="11">'[1]Step 3. FA Balance'!$H$115</definedName>
    <definedName name="Kind7" localSheetId="4">'[1]Step 3. FA Balance'!$H$115</definedName>
    <definedName name="Kind7" localSheetId="9">'[1]Step 3. FA Balance'!$H$115</definedName>
    <definedName name="Kind7" localSheetId="10">'[1]Step 3. FA Balance'!$H$115</definedName>
    <definedName name="Kind7" localSheetId="7">'[1]Step 3. FA Balance'!$H$115</definedName>
    <definedName name="Kind7" localSheetId="8">'[1]Step 3. FA Balance'!$H$115</definedName>
    <definedName name="Kind7" localSheetId="1">'[1]Step 3. FA Balance'!$H$115</definedName>
    <definedName name="Kind7" localSheetId="3">'[1]Step 3. FA Balance'!$H$115</definedName>
    <definedName name="Kind7">'Step 3. FA Balance'!$H$115</definedName>
    <definedName name="Kind8" localSheetId="16">'[1]Step 3. FA Balance'!$H$117</definedName>
    <definedName name="Kind8" localSheetId="6">'[1]Step 3. FA Balance'!$H$117</definedName>
    <definedName name="Kind8" localSheetId="11">'[1]Step 3. FA Balance'!$H$117</definedName>
    <definedName name="Kind8" localSheetId="4">'[1]Step 3. FA Balance'!$H$117</definedName>
    <definedName name="Kind8" localSheetId="9">'[1]Step 3. FA Balance'!$H$117</definedName>
    <definedName name="Kind8" localSheetId="10">'[1]Step 3. FA Balance'!$H$117</definedName>
    <definedName name="Kind8" localSheetId="7">'[1]Step 3. FA Balance'!$H$117</definedName>
    <definedName name="Kind8" localSheetId="8">'[1]Step 3. FA Balance'!$H$117</definedName>
    <definedName name="Kind8" localSheetId="1">'[1]Step 3. FA Balance'!$H$117</definedName>
    <definedName name="Kind8" localSheetId="3">'[1]Step 3. FA Balance'!$H$117</definedName>
    <definedName name="Kind8">'Step 3. FA Balance'!$H$117</definedName>
    <definedName name="Kind9" localSheetId="16">'[1]Step 3. FA Balance'!$H$119</definedName>
    <definedName name="Kind9" localSheetId="6">'[1]Step 3. FA Balance'!$H$119</definedName>
    <definedName name="Kind9" localSheetId="11">'[1]Step 3. FA Balance'!$H$119</definedName>
    <definedName name="Kind9" localSheetId="4">'[1]Step 3. FA Balance'!$H$119</definedName>
    <definedName name="Kind9" localSheetId="9">'[1]Step 3. FA Balance'!$H$119</definedName>
    <definedName name="Kind9" localSheetId="10">'[1]Step 3. FA Balance'!$H$119</definedName>
    <definedName name="Kind9" localSheetId="7">'[1]Step 3. FA Balance'!$H$119</definedName>
    <definedName name="Kind9" localSheetId="8">'[1]Step 3. FA Balance'!$H$119</definedName>
    <definedName name="Kind9" localSheetId="1">'[1]Step 3. FA Balance'!$H$119</definedName>
    <definedName name="Kind9" localSheetId="3">'[1]Step 3. FA Balance'!$H$119</definedName>
    <definedName name="Kind9">'Step 3. FA Balance'!$H$119</definedName>
    <definedName name="LactatingDairyAltPast" localSheetId="16">[1]AnimalDemandCalculation!$H$54</definedName>
    <definedName name="LactatingDairyAltPast" localSheetId="6">[1]AnimalDemandCalculation!$H$54</definedName>
    <definedName name="LactatingDairyAltPast" localSheetId="11">[1]AnimalDemandCalculation!$H$54</definedName>
    <definedName name="LactatingDairyAltPast" localSheetId="4">[1]AnimalDemandCalculation!$H$54</definedName>
    <definedName name="LactatingDairyAltPast" localSheetId="9">[1]AnimalDemandCalculation!$H$54</definedName>
    <definedName name="LactatingDairyAltPast" localSheetId="10">[1]AnimalDemandCalculation!$H$54</definedName>
    <definedName name="LactatingDairyAltPast" localSheetId="7">[1]AnimalDemandCalculation!$H$54</definedName>
    <definedName name="LactatingDairyAltPast" localSheetId="8">[1]AnimalDemandCalculation!$H$54</definedName>
    <definedName name="LactatingDairyAltPast" localSheetId="1">[1]AnimalDemandCalculation!$H$54</definedName>
    <definedName name="LactatingDairyAltPast" localSheetId="3">[1]AnimalDemandCalculation!$H$54</definedName>
    <definedName name="LactatingDairyAltPast">Calculations!$H$54</definedName>
    <definedName name="LactatingDairyDryLot" localSheetId="16">[1]AnimalDemandCalculation!$I$54</definedName>
    <definedName name="LactatingDairyDryLot" localSheetId="6">[1]AnimalDemandCalculation!$I$54</definedName>
    <definedName name="LactatingDairyDryLot" localSheetId="11">[1]AnimalDemandCalculation!$I$54</definedName>
    <definedName name="LactatingDairyDryLot" localSheetId="4">[1]AnimalDemandCalculation!$I$54</definedName>
    <definedName name="LactatingDairyDryLot" localSheetId="9">[1]AnimalDemandCalculation!$I$54</definedName>
    <definedName name="LactatingDairyDryLot" localSheetId="10">[1]AnimalDemandCalculation!$I$54</definedName>
    <definedName name="LactatingDairyDryLot" localSheetId="7">[1]AnimalDemandCalculation!$I$54</definedName>
    <definedName name="LactatingDairyDryLot" localSheetId="8">[1]AnimalDemandCalculation!$I$54</definedName>
    <definedName name="LactatingDairyDryLot" localSheetId="1">[1]AnimalDemandCalculation!$I$54</definedName>
    <definedName name="LactatingDairyDryLot" localSheetId="3">[1]AnimalDemandCalculation!$I$54</definedName>
    <definedName name="LactatingDairyDryLot">Calculations!$I$54</definedName>
    <definedName name="LactatingDairyInput">'Step 3. FA Balance'!$I$29:$K$29</definedName>
    <definedName name="LactatingDairyPast" localSheetId="16">[1]AnimalDemandCalculation!$G$54</definedName>
    <definedName name="LactatingDairyPast" localSheetId="6">[1]AnimalDemandCalculation!$G$54</definedName>
    <definedName name="LactatingDairyPast" localSheetId="11">[1]AnimalDemandCalculation!$G$54</definedName>
    <definedName name="LactatingDairyPast" localSheetId="4">[1]AnimalDemandCalculation!$G$54</definedName>
    <definedName name="LactatingDairyPast" localSheetId="9">[1]AnimalDemandCalculation!$G$54</definedName>
    <definedName name="LactatingDairyPast" localSheetId="10">[1]AnimalDemandCalculation!$G$54</definedName>
    <definedName name="LactatingDairyPast" localSheetId="7">[1]AnimalDemandCalculation!$G$54</definedName>
    <definedName name="LactatingDairyPast" localSheetId="8">[1]AnimalDemandCalculation!$G$54</definedName>
    <definedName name="LactatingDairyPast" localSheetId="1">[1]AnimalDemandCalculation!$G$54</definedName>
    <definedName name="LactatingDairyPast" localSheetId="3">[1]AnimalDemandCalculation!$G$54</definedName>
    <definedName name="LactatingDairyPast">Calculations!$G$54</definedName>
    <definedName name="Landowner">Instructions!$C$172</definedName>
    <definedName name="LivestockNeeds">Instructions!$D$92</definedName>
    <definedName name="LivestockSheet">Instructions!$C$89</definedName>
    <definedName name="Name" localSheetId="16">'[1]Step 3. FA Balance'!$H$6</definedName>
    <definedName name="Name" localSheetId="6">'[1]Step 3. FA Balance'!$H$6</definedName>
    <definedName name="Name" localSheetId="11">'[1]Step 3. FA Balance'!$H$6</definedName>
    <definedName name="Name" localSheetId="4">'[1]Step 3. FA Balance'!$H$6</definedName>
    <definedName name="Name" localSheetId="9">'[1]Step 3. FA Balance'!$H$6</definedName>
    <definedName name="Name" localSheetId="10">'[1]Step 3. FA Balance'!$H$6</definedName>
    <definedName name="Name" localSheetId="7">'[1]Step 3. FA Balance'!$H$6</definedName>
    <definedName name="Name" localSheetId="8">'[1]Step 3. FA Balance'!$H$6</definedName>
    <definedName name="Name" localSheetId="1">'[1]Step 3. FA Balance'!$H$6</definedName>
    <definedName name="Name" localSheetId="3">'[1]Step 3. FA Balance'!$H$6</definedName>
    <definedName name="Name">'Step 3. FA Balance'!$H$6</definedName>
    <definedName name="NoAltPast">'Step 3. FA Balance'!$191:$191</definedName>
    <definedName name="Notes" localSheetId="16">'[1]Step 3. FA Balance'!$T$6</definedName>
    <definedName name="Notes" localSheetId="6">'[1]Step 3. FA Balance'!$T$6</definedName>
    <definedName name="Notes" localSheetId="11">'[1]Step 3. FA Balance'!$T$6</definedName>
    <definedName name="Notes" localSheetId="4">'[1]Step 3. FA Balance'!$T$6</definedName>
    <definedName name="Notes" localSheetId="9">'[1]Step 3. FA Balance'!$T$6</definedName>
    <definedName name="Notes" localSheetId="10">'[1]Step 3. FA Balance'!$T$6</definedName>
    <definedName name="Notes" localSheetId="7">'[1]Step 3. FA Balance'!$T$6</definedName>
    <definedName name="Notes" localSheetId="8">'[1]Step 3. FA Balance'!$T$6</definedName>
    <definedName name="Notes" localSheetId="1">'[1]Step 3. FA Balance'!$T$6</definedName>
    <definedName name="Notes" localSheetId="3">'[1]Step 3. FA Balance'!$T$6</definedName>
    <definedName name="Notes">'Step 3. FA Balance'!$T$6</definedName>
    <definedName name="Pasture10">'Step 3. FA Balance'!$121:$122</definedName>
    <definedName name="Pasture11">'Step 3. FA Balance'!$123:$124</definedName>
    <definedName name="Pasture12">'Step 3. FA Balance'!$125:$126</definedName>
    <definedName name="Pasture13">'Step 3. FA Balance'!$127:$128</definedName>
    <definedName name="Pasture14">'Step 3. FA Balance'!$129:$130</definedName>
    <definedName name="Pasture15">'Step 3. FA Balance'!$131:$132</definedName>
    <definedName name="Pasture16">'Step 3. FA Balance'!$133:$134</definedName>
    <definedName name="Pasture17">'Step 3. FA Balance'!$135:$136</definedName>
    <definedName name="Pasture18">'Step 3. FA Balance'!$137:$138</definedName>
    <definedName name="Pasture19">'Step 3. FA Balance'!$139:$140</definedName>
    <definedName name="Pasture2">'Step 3. FA Balance'!$105:$106</definedName>
    <definedName name="Pasture20">'Step 3. FA Balance'!$141:$142</definedName>
    <definedName name="Pasture21">'Step 3. FA Balance'!$143:$144</definedName>
    <definedName name="Pasture22">'Step 3. FA Balance'!$145:$146</definedName>
    <definedName name="Pasture23">'Step 3. FA Balance'!$147:$148</definedName>
    <definedName name="Pasture24">'Step 3. FA Balance'!$149:$150</definedName>
    <definedName name="Pasture3">'Step 3. FA Balance'!$107:$108</definedName>
    <definedName name="Pasture4">'Step 3. FA Balance'!$109:$110</definedName>
    <definedName name="Pasture5">'Step 3. FA Balance'!$111:$112</definedName>
    <definedName name="Pasture6">'Step 3. FA Balance'!$113:$114</definedName>
    <definedName name="Pasture7">'Step 3. FA Balance'!$115:$116</definedName>
    <definedName name="Pasture8">'Step 3. FA Balance'!$117:$118</definedName>
    <definedName name="Pasture9">'Step 3. FA Balance'!$119:$120</definedName>
    <definedName name="PastureEffTable" localSheetId="16">[1]PastureGrazingEfficiency!$B$9:$C$108</definedName>
    <definedName name="PastureEffTable" localSheetId="6">[1]PastureGrazingEfficiency!$B$9:$C$108</definedName>
    <definedName name="PastureEffTable" localSheetId="11">[1]PastureGrazingEfficiency!$B$9:$C$108</definedName>
    <definedName name="PastureEffTable" localSheetId="4">[1]PastureGrazingEfficiency!$B$9:$C$108</definedName>
    <definedName name="PastureEffTable" localSheetId="9">[1]PastureGrazingEfficiency!$B$9:$C$108</definedName>
    <definedName name="PastureEffTable" localSheetId="10">[1]PastureGrazingEfficiency!$B$9:$C$108</definedName>
    <definedName name="PastureEffTable" localSheetId="7">[1]PastureGrazingEfficiency!$B$9:$C$108</definedName>
    <definedName name="PastureEffTable" localSheetId="8">[1]PastureGrazingEfficiency!$B$9:$C$108</definedName>
    <definedName name="PastureEffTable" localSheetId="1">[1]PastureGrazingEfficiency!$B$9:$C$108</definedName>
    <definedName name="PastureEffTable" localSheetId="3">[1]PastureGrazingEfficiency!$B$9:$C$108</definedName>
    <definedName name="PastureEffTable">PastureGrazingEfficiency!$B$9:$C$108</definedName>
    <definedName name="Planner" localSheetId="16">'[1]Step 3. FA Balance'!$H$10</definedName>
    <definedName name="Planner" localSheetId="6">'[1]Step 3. FA Balance'!$H$10</definedName>
    <definedName name="Planner" localSheetId="11">'[1]Step 3. FA Balance'!$H$10</definedName>
    <definedName name="Planner" localSheetId="4">'[1]Step 3. FA Balance'!$H$10</definedName>
    <definedName name="Planner" localSheetId="9">'[1]Step 3. FA Balance'!$H$10</definedName>
    <definedName name="Planner" localSheetId="10">'[1]Step 3. FA Balance'!$H$10</definedName>
    <definedName name="Planner" localSheetId="7">'[1]Step 3. FA Balance'!$H$10</definedName>
    <definedName name="Planner" localSheetId="8">'[1]Step 3. FA Balance'!$H$10</definedName>
    <definedName name="Planner" localSheetId="1">'[1]Step 3. FA Balance'!$H$10</definedName>
    <definedName name="Planner" localSheetId="3">'[1]Step 3. FA Balance'!$H$10</definedName>
    <definedName name="Planner">'Step 3. FA Balance'!$H$10</definedName>
    <definedName name="_xlnm.Print_Area" localSheetId="6">'528 IR'!$A$2:$N$180</definedName>
    <definedName name="_xlnm.Print_Area" localSheetId="17">'Explanation sheet for L.O. '!$B$2:$F$31</definedName>
    <definedName name="_xlnm.Print_Area" localSheetId="18">Instructions!$C$2:$D$173</definedName>
    <definedName name="_xlnm.Print_Area" localSheetId="27">PrintableGrazingInventory!$A$1:$M$89</definedName>
    <definedName name="_xlnm.Print_Area" localSheetId="29">PrintableHayInventory!$A$1:$I$50</definedName>
    <definedName name="_xlnm.Print_Area" localSheetId="26">PrintableLivestockInventory!$A$1:$M$53</definedName>
    <definedName name="_xlnm.Print_Area" localSheetId="28">PrintableSummaryBalance!$A$1:$N$44</definedName>
    <definedName name="_xlnm.Print_Area" localSheetId="0">'Step 1. Field Inventory'!$B$15:$J$137</definedName>
    <definedName name="_xlnm.Print_Area" localSheetId="5">'Step 3. FA Balance'!$G$2:$Z$105</definedName>
    <definedName name="_xlnm.Print_Area" localSheetId="12">'Step 4. Review Summary'!$B$2:$G$86</definedName>
    <definedName name="_xlnm.Print_Area" localSheetId="13">'Step 5. Review TimeControlSched'!$B$2:$K$71</definedName>
    <definedName name="PrintAlt1">PrintableGrazingInventory!$72:$72</definedName>
    <definedName name="PrintAlt1a">PrintableGrazingInventory!$83:$83</definedName>
    <definedName name="PrintAlt2">PrintableGrazingInventory!$73:$73</definedName>
    <definedName name="PrintAlt2a">PrintableGrazingInventory!$84:$84</definedName>
    <definedName name="PrintAlt3">PrintableGrazingInventory!$74:$74</definedName>
    <definedName name="PrintAlt3a">PrintableGrazingInventory!$85:$85</definedName>
    <definedName name="PrintAlt4">PrintableGrazingInventory!$75:$75</definedName>
    <definedName name="PrintAlt4a">PrintableGrazingInventory!$86:$86</definedName>
    <definedName name="PrintAlt5">PrintableGrazingInventory!$76:$76</definedName>
    <definedName name="PrintAlt5a">PrintableGrazingInventory!$87:$87</definedName>
    <definedName name="PrintAlt6">PrintableGrazingInventory!$77:$77</definedName>
    <definedName name="PrintAlt6a">PrintableGrazingInventory!$88:$88</definedName>
    <definedName name="PrintAltPastAll">PrintableGrazingInventory!$68:$89</definedName>
    <definedName name="PrintAnnualDairya">PrintableLivestockInventory!$18:$19</definedName>
    <definedName name="PrintAnnualDairyb">PrintableLivestockInventory!$35:$36</definedName>
    <definedName name="PrintBullsa">PrintableLivestockInventory!$20:$20</definedName>
    <definedName name="PrintBullsb">PrintableLivestockInventory!$37:$37</definedName>
    <definedName name="PrintCC1a">PrintableLivestockInventory!$10:$10</definedName>
    <definedName name="PrintCC1b">PrintableLivestockInventory!$29:$29</definedName>
    <definedName name="PrintCC2a">PrintableLivestockInventory!$11:$11</definedName>
    <definedName name="PrintCC2b">PrintableLivestockInventory!$30:$30</definedName>
    <definedName name="PrintCC3a">PrintableLivestockInventory!$12:$12</definedName>
    <definedName name="PrintCC3b">PrintableLivestockInventory!$31:$31</definedName>
    <definedName name="PrintForage1">PrintableGrazingInventory!$10:$10</definedName>
    <definedName name="PrintForage10">PrintableGrazingInventory!$19:$19</definedName>
    <definedName name="PrintForage10a">PrintableGrazingInventory!$51:$51</definedName>
    <definedName name="PrintForage11">PrintableGrazingInventory!$20:$20</definedName>
    <definedName name="PrintForage11a">PrintableGrazingInventory!$52:$52</definedName>
    <definedName name="PrintForage12">PrintableGrazingInventory!$21:$21</definedName>
    <definedName name="PrintForage12a">PrintableGrazingInventory!$53:$53</definedName>
    <definedName name="PrintForage13">PrintableGrazingInventory!$22:$22</definedName>
    <definedName name="PrintForage13a">PrintableGrazingInventory!$54:$54</definedName>
    <definedName name="PrintForage14">PrintableGrazingInventory!$23:$23</definedName>
    <definedName name="PrintForage14a">PrintableGrazingInventory!$55:$55</definedName>
    <definedName name="PrintForage15">PrintableGrazingInventory!$24:$24</definedName>
    <definedName name="PrintForage15a">PrintableGrazingInventory!$56:$56</definedName>
    <definedName name="PrintForage16">PrintableGrazingInventory!$25:$25</definedName>
    <definedName name="PrintForage16a">PrintableGrazingInventory!$57:$57</definedName>
    <definedName name="PrintForage17">PrintableGrazingInventory!$26:$26</definedName>
    <definedName name="PrintForage17a">PrintableGrazingInventory!$58:$58</definedName>
    <definedName name="PrintForage18">PrintableGrazingInventory!$27:$27</definedName>
    <definedName name="PrintForage18a">PrintableGrazingInventory!$59:$59</definedName>
    <definedName name="PrintForage19">PrintableGrazingInventory!$28:$28</definedName>
    <definedName name="PrintForage19a">PrintableGrazingInventory!$60:$60</definedName>
    <definedName name="PrintForage1a">PrintableGrazingInventory!$42:$42</definedName>
    <definedName name="PrintForage2">PrintableGrazingInventory!$11:$11</definedName>
    <definedName name="PrintForage20">PrintableGrazingInventory!$29:$29</definedName>
    <definedName name="PrintForage20a">PrintableGrazingInventory!$61:$61</definedName>
    <definedName name="PrintForage21">PrintableGrazingInventory!$30:$30</definedName>
    <definedName name="PrintForage21a">PrintableGrazingInventory!$62:$62</definedName>
    <definedName name="PrintForage22">PrintableGrazingInventory!$31:$31</definedName>
    <definedName name="PrintForage22a">PrintableGrazingInventory!$63:$63</definedName>
    <definedName name="PrintForage23">PrintableGrazingInventory!$32:$32</definedName>
    <definedName name="PrintForage23a">PrintableGrazingInventory!$64:$64</definedName>
    <definedName name="PrintForage24">PrintableGrazingInventory!$33:$33</definedName>
    <definedName name="PrintForage24a">PrintableGrazingInventory!$65:$65</definedName>
    <definedName name="PrintForage2a">PrintableGrazingInventory!$43:$43</definedName>
    <definedName name="PrintForage3">PrintableGrazingInventory!$12:$12</definedName>
    <definedName name="PrintForage3a">PrintableGrazingInventory!$44:$44</definedName>
    <definedName name="PrintForage4">PrintableGrazingInventory!$13:$13</definedName>
    <definedName name="PrintForage4a">PrintableGrazingInventory!$45:$45</definedName>
    <definedName name="PrintForage5">PrintableGrazingInventory!$14:$14</definedName>
    <definedName name="PrintForage5a">PrintableGrazingInventory!$46:$46</definedName>
    <definedName name="PrintForage6">PrintableGrazingInventory!$15:$15</definedName>
    <definedName name="PrintForage6a">PrintableGrazingInventory!$47:$47</definedName>
    <definedName name="PrintForage7">PrintableGrazingInventory!$16:$16</definedName>
    <definedName name="PrintForage7a">PrintableGrazingInventory!$48:$48</definedName>
    <definedName name="PrintForage8">PrintableGrazingInventory!$17:$17</definedName>
    <definedName name="PrintForage8a">PrintableGrazingInventory!$49:$49</definedName>
    <definedName name="PrintForage9">PrintableGrazingInventory!$18:$18</definedName>
    <definedName name="PrintForage9a">PrintableGrazingInventory!$50:$50</definedName>
    <definedName name="PrintGoatsa">PrintableLivestockInventory!$23:$23</definedName>
    <definedName name="PrintGoatsb">PrintableLivestockInventory!$40:$40</definedName>
    <definedName name="PrintHay10a">PrintableHayInventory!$19:$19</definedName>
    <definedName name="PrintHay10b">PrintableHayInventory!$49:$49</definedName>
    <definedName name="PrintHay11a">PrintableHayInventory!$20:$20</definedName>
    <definedName name="PrintHay12a">PrintableHayInventory!$21:$21</definedName>
    <definedName name="PrintHay13a">PrintableHayInventory!$22:$22</definedName>
    <definedName name="PrintHay14a">PrintableHayInventory!$23:$23</definedName>
    <definedName name="PrintHay15a">PrintableHayInventory!$24:$24</definedName>
    <definedName name="PrintHay16a">PrintableHayInventory!$25:$25</definedName>
    <definedName name="PrintHay17a">PrintableHayInventory!$26:$26</definedName>
    <definedName name="PrintHay18a">PrintableHayInventory!$27:$27</definedName>
    <definedName name="PrintHay19a">PrintableHayInventory!$28:$28</definedName>
    <definedName name="PrintHay1a">PrintableHayInventory!$10:$10</definedName>
    <definedName name="PrintHay1b">PrintableHayInventory!$40:$40</definedName>
    <definedName name="PrintHay20a">PrintableHayInventory!$29:$29</definedName>
    <definedName name="PrintHay21a">PrintableHayInventory!$30:$30</definedName>
    <definedName name="PrintHay22a">PrintableHayInventory!$31:$31</definedName>
    <definedName name="PrintHay23a">PrintableHayInventory!$32:$32</definedName>
    <definedName name="PrintHay24a">PrintableHayInventory!$33:$33</definedName>
    <definedName name="PrintHay2a">PrintableHayInventory!$11:$11</definedName>
    <definedName name="PrintHay2b">PrintableHayInventory!$41:$41</definedName>
    <definedName name="PrintHay3a">PrintableHayInventory!$12:$12</definedName>
    <definedName name="PrintHay3b">PrintableHayInventory!$42:$42</definedName>
    <definedName name="PrintHay4a">PrintableHayInventory!$13:$13</definedName>
    <definedName name="PrintHay4b">PrintableHayInventory!$43:$43</definedName>
    <definedName name="PrintHay5a">PrintableHayInventory!$14:$14</definedName>
    <definedName name="PrintHay5b">PrintableHayInventory!$44:$44</definedName>
    <definedName name="PrintHay6a">PrintableHayInventory!$15:$15</definedName>
    <definedName name="PrintHay6b">PrintableHayInventory!$45:$45</definedName>
    <definedName name="PrintHay7a">PrintableHayInventory!$16:$16</definedName>
    <definedName name="PrintHay7b">PrintableHayInventory!$46:$46</definedName>
    <definedName name="PrintHay8a">PrintableHayInventory!$17:$17</definedName>
    <definedName name="PrintHay8b">PrintableHayInventory!$47:$47</definedName>
    <definedName name="PrintHay9a">PrintableHayInventory!$18:$18</definedName>
    <definedName name="PrintHay9b">PrintableHayInventory!$48:$48</definedName>
    <definedName name="PrintHorsesa">PrintableLivestockInventory!$21:$21</definedName>
    <definedName name="PrintHorsesb">PrintableLivestockInventory!$38:$38</definedName>
    <definedName name="Printing">Instructions!$C$77</definedName>
    <definedName name="PrintSeasonalDairya">PrintableLivestockInventory!$15:$17</definedName>
    <definedName name="PrintSeasonalDairyb">PrintableLivestockInventory!$34:$34</definedName>
    <definedName name="PrintSheepa">PrintableLivestockInventory!$22:$22</definedName>
    <definedName name="PrintSheepb">PrintableLivestockInventory!$39:$39</definedName>
    <definedName name="PrintStockers1a">PrintableLivestockInventory!$13:$13</definedName>
    <definedName name="PrintStockers1b">PrintableLivestockInventory!$32:$32</definedName>
    <definedName name="PrintStockers2a">PrintableLivestockInventory!$14:$14</definedName>
    <definedName name="PrintStockers2b">PrintableLivestockInventory!$33:$33</definedName>
    <definedName name="Saving">Instructions!$C$82</definedName>
    <definedName name="SeasonalDairyAltPast" localSheetId="16">[1]AnimalDemandCalculation!$H$45</definedName>
    <definedName name="SeasonalDairyAltPast" localSheetId="6">[1]AnimalDemandCalculation!$H$45</definedName>
    <definedName name="SeasonalDairyAltPast" localSheetId="11">[1]AnimalDemandCalculation!$H$45</definedName>
    <definedName name="SeasonalDairyAltPast" localSheetId="4">[1]AnimalDemandCalculation!$H$45</definedName>
    <definedName name="SeasonalDairyAltPast" localSheetId="9">[1]AnimalDemandCalculation!$H$45</definedName>
    <definedName name="SeasonalDairyAltPast" localSheetId="10">[1]AnimalDemandCalculation!$H$45</definedName>
    <definedName name="SeasonalDairyAltPast" localSheetId="7">[1]AnimalDemandCalculation!$H$45</definedName>
    <definedName name="SeasonalDairyAltPast" localSheetId="8">[1]AnimalDemandCalculation!$H$45</definedName>
    <definedName name="SeasonalDairyAltPast" localSheetId="1">[1]AnimalDemandCalculation!$H$45</definedName>
    <definedName name="SeasonalDairyAltPast" localSheetId="3">[1]AnimalDemandCalculation!$H$45</definedName>
    <definedName name="SeasonalDairyAltPast">Calculations!$H$45</definedName>
    <definedName name="SeasonalDairyCheck" localSheetId="16">[1]AnimalDemandCalculation!$L$44</definedName>
    <definedName name="SeasonalDairyCheck" localSheetId="6">[1]AnimalDemandCalculation!$L$44</definedName>
    <definedName name="SeasonalDairyCheck" localSheetId="11">[1]AnimalDemandCalculation!$L$44</definedName>
    <definedName name="SeasonalDairyCheck" localSheetId="4">[1]AnimalDemandCalculation!$L$44</definedName>
    <definedName name="SeasonalDairyCheck" localSheetId="9">[1]AnimalDemandCalculation!$L$44</definedName>
    <definedName name="SeasonalDairyCheck" localSheetId="10">[1]AnimalDemandCalculation!$L$44</definedName>
    <definedName name="SeasonalDairyCheck" localSheetId="7">[1]AnimalDemandCalculation!$L$44</definedName>
    <definedName name="SeasonalDairyCheck" localSheetId="8">[1]AnimalDemandCalculation!$L$44</definedName>
    <definedName name="SeasonalDairyCheck" localSheetId="1">[1]AnimalDemandCalculation!$L$44</definedName>
    <definedName name="SeasonalDairyCheck" localSheetId="3">[1]AnimalDemandCalculation!$L$44</definedName>
    <definedName name="SeasonalDairyCheck">Calculations!$L$44</definedName>
    <definedName name="SeasonalDairyDryLot" localSheetId="16">[1]AnimalDemandCalculation!$I$45</definedName>
    <definedName name="SeasonalDairyDryLot" localSheetId="6">[1]AnimalDemandCalculation!$I$45</definedName>
    <definedName name="SeasonalDairyDryLot" localSheetId="11">[1]AnimalDemandCalculation!$I$45</definedName>
    <definedName name="SeasonalDairyDryLot" localSheetId="4">[1]AnimalDemandCalculation!$I$45</definedName>
    <definedName name="SeasonalDairyDryLot" localSheetId="9">[1]AnimalDemandCalculation!$I$45</definedName>
    <definedName name="SeasonalDairyDryLot" localSheetId="10">[1]AnimalDemandCalculation!$I$45</definedName>
    <definedName name="SeasonalDairyDryLot" localSheetId="7">[1]AnimalDemandCalculation!$I$45</definedName>
    <definedName name="SeasonalDairyDryLot" localSheetId="8">[1]AnimalDemandCalculation!$I$45</definedName>
    <definedName name="SeasonalDairyDryLot" localSheetId="1">[1]AnimalDemandCalculation!$I$45</definedName>
    <definedName name="SeasonalDairyDryLot" localSheetId="3">[1]AnimalDemandCalculation!$I$45</definedName>
    <definedName name="SeasonalDairyDryLot">Calculations!$I$45</definedName>
    <definedName name="SeasonalDairyPast" localSheetId="16">[1]AnimalDemandCalculation!$G$45</definedName>
    <definedName name="SeasonalDairyPast" localSheetId="6">[1]AnimalDemandCalculation!$G$45</definedName>
    <definedName name="SeasonalDairyPast" localSheetId="11">[1]AnimalDemandCalculation!$G$45</definedName>
    <definedName name="SeasonalDairyPast" localSheetId="4">[1]AnimalDemandCalculation!$G$45</definedName>
    <definedName name="SeasonalDairyPast" localSheetId="9">[1]AnimalDemandCalculation!$G$45</definedName>
    <definedName name="SeasonalDairyPast" localSheetId="10">[1]AnimalDemandCalculation!$G$45</definedName>
    <definedName name="SeasonalDairyPast" localSheetId="7">[1]AnimalDemandCalculation!$G$45</definedName>
    <definedName name="SeasonalDairyPast" localSheetId="8">[1]AnimalDemandCalculation!$G$45</definedName>
    <definedName name="SeasonalDairyPast" localSheetId="1">[1]AnimalDemandCalculation!$G$45</definedName>
    <definedName name="SeasonalDairyPast" localSheetId="3">[1]AnimalDemandCalculation!$G$45</definedName>
    <definedName name="SeasonalDairyPast">Calculations!$G$45</definedName>
    <definedName name="Sheep">'Step 3. FA Balance'!$37:$38</definedName>
    <definedName name="SheepCheck">Calculations!$L$54</definedName>
    <definedName name="SheepInput">'Step 3. FA Balance'!$I$37:$K$37</definedName>
    <definedName name="SheepSummary">'Step 4. Review Summary'!$21:$21</definedName>
    <definedName name="Stockers1">'Step 3. FA Balance'!$21:$22</definedName>
    <definedName name="Stockers1Check">Calculations!$L$50</definedName>
    <definedName name="Stockers1Input" localSheetId="16">'[1]Step 3. FA Balance'!$I$21,'[1]Step 3. FA Balance'!$K$21</definedName>
    <definedName name="Stockers1Input" localSheetId="6">'[1]Step 3. FA Balance'!$I$21,'[1]Step 3. FA Balance'!$K$21</definedName>
    <definedName name="Stockers1Input" localSheetId="11">'[1]Step 3. FA Balance'!$I$21,'[1]Step 3. FA Balance'!$K$21</definedName>
    <definedName name="Stockers1Input" localSheetId="4">'[1]Step 3. FA Balance'!$I$21,'[1]Step 3. FA Balance'!$K$21</definedName>
    <definedName name="Stockers1Input" localSheetId="9">'[1]Step 3. FA Balance'!$I$21,'[1]Step 3. FA Balance'!$K$21</definedName>
    <definedName name="Stockers1Input" localSheetId="10">'[1]Step 3. FA Balance'!$I$21,'[1]Step 3. FA Balance'!$K$21</definedName>
    <definedName name="Stockers1Input" localSheetId="7">'[1]Step 3. FA Balance'!$I$21,'[1]Step 3. FA Balance'!$K$21</definedName>
    <definedName name="Stockers1Input" localSheetId="8">'[1]Step 3. FA Balance'!$I$21,'[1]Step 3. FA Balance'!$K$21</definedName>
    <definedName name="Stockers1Input" localSheetId="1">'[1]Step 3. FA Balance'!$I$21,'[1]Step 3. FA Balance'!$K$21</definedName>
    <definedName name="Stockers1Input" localSheetId="3">'[1]Step 3. FA Balance'!$I$21,'[1]Step 3. FA Balance'!$K$21</definedName>
    <definedName name="Stockers1Input">'Step 3. FA Balance'!$I$21,'Step 3. FA Balance'!$K$21</definedName>
    <definedName name="Stockers2">'Step 3. FA Balance'!$23:$24</definedName>
    <definedName name="Stockers2Check">Calculations!$L$51</definedName>
    <definedName name="Stockers2Input" localSheetId="16">'[1]Step 3. FA Balance'!$I$23,'[1]Step 3. FA Balance'!$K$23</definedName>
    <definedName name="Stockers2Input" localSheetId="6">'[1]Step 3. FA Balance'!$I$23,'[1]Step 3. FA Balance'!$K$23</definedName>
    <definedName name="Stockers2Input" localSheetId="11">'[1]Step 3. FA Balance'!$I$23,'[1]Step 3. FA Balance'!$K$23</definedName>
    <definedName name="Stockers2Input" localSheetId="4">'[1]Step 3. FA Balance'!$I$23,'[1]Step 3. FA Balance'!$K$23</definedName>
    <definedName name="Stockers2Input" localSheetId="9">'[1]Step 3. FA Balance'!$I$23,'[1]Step 3. FA Balance'!$K$23</definedName>
    <definedName name="Stockers2Input" localSheetId="10">'[1]Step 3. FA Balance'!$I$23,'[1]Step 3. FA Balance'!$K$23</definedName>
    <definedName name="Stockers2Input" localSheetId="7">'[1]Step 3. FA Balance'!$I$23,'[1]Step 3. FA Balance'!$K$23</definedName>
    <definedName name="Stockers2Input" localSheetId="8">'[1]Step 3. FA Balance'!$I$23,'[1]Step 3. FA Balance'!$K$23</definedName>
    <definedName name="Stockers2Input" localSheetId="1">'[1]Step 3. FA Balance'!$I$23,'[1]Step 3. FA Balance'!$K$23</definedName>
    <definedName name="Stockers2Input" localSheetId="3">'[1]Step 3. FA Balance'!$I$23,'[1]Step 3. FA Balance'!$K$23</definedName>
    <definedName name="Stockers2Input">'Step 3. FA Balance'!$I$23,'Step 3. FA Balance'!$K$23</definedName>
    <definedName name="StockersSummary1">'Step 4. Review Summary'!$14:$14</definedName>
    <definedName name="StockersSummary2">'Step 4. Review Summary'!$15:$15</definedName>
    <definedName name="SumBuyHay" localSheetId="16">'[1]Step 3. FA Balance'!$N$272</definedName>
    <definedName name="SumBuyHay" localSheetId="6">'[1]Step 3. FA Balance'!$N$272</definedName>
    <definedName name="SumBuyHay" localSheetId="11">'[1]Step 3. FA Balance'!$N$272</definedName>
    <definedName name="SumBuyHay" localSheetId="4">'[1]Step 3. FA Balance'!$N$272</definedName>
    <definedName name="SumBuyHay" localSheetId="9">'[1]Step 3. FA Balance'!$N$272</definedName>
    <definedName name="SumBuyHay" localSheetId="10">'[1]Step 3. FA Balance'!$N$272</definedName>
    <definedName name="SumBuyHay" localSheetId="7">'[1]Step 3. FA Balance'!$N$272</definedName>
    <definedName name="SumBuyHay" localSheetId="8">'[1]Step 3. FA Balance'!$N$272</definedName>
    <definedName name="SumBuyHay" localSheetId="1">'[1]Step 3. FA Balance'!$N$272</definedName>
    <definedName name="SumBuyHay" localSheetId="3">'[1]Step 3. FA Balance'!$N$272</definedName>
    <definedName name="SumBuyHay">'Step 3. FA Balance'!$N$272</definedName>
    <definedName name="SumCarryoverHay" localSheetId="16">'[1]Step 3. FA Balance'!$N$268</definedName>
    <definedName name="SumCarryoverHay" localSheetId="6">'[1]Step 3. FA Balance'!$N$268</definedName>
    <definedName name="SumCarryoverHay" localSheetId="11">'[1]Step 3. FA Balance'!$N$268</definedName>
    <definedName name="SumCarryoverHay" localSheetId="4">'[1]Step 3. FA Balance'!$N$268</definedName>
    <definedName name="SumCarryoverHay" localSheetId="9">'[1]Step 3. FA Balance'!$N$268</definedName>
    <definedName name="SumCarryoverHay" localSheetId="10">'[1]Step 3. FA Balance'!$N$268</definedName>
    <definedName name="SumCarryoverHay" localSheetId="7">'[1]Step 3. FA Balance'!$N$268</definedName>
    <definedName name="SumCarryoverHay" localSheetId="8">'[1]Step 3. FA Balance'!$N$268</definedName>
    <definedName name="SumCarryoverHay" localSheetId="1">'[1]Step 3. FA Balance'!$N$268</definedName>
    <definedName name="SumCarryoverHay" localSheetId="3">'[1]Step 3. FA Balance'!$N$268</definedName>
    <definedName name="SumCarryoverHay">'Step 3. FA Balance'!$N$268</definedName>
    <definedName name="SumLoss1" localSheetId="16">'[1]Step 3. FA Balance'!$N$265</definedName>
    <definedName name="SumLoss1" localSheetId="6">'[1]Step 3. FA Balance'!$N$265</definedName>
    <definedName name="SumLoss1" localSheetId="11">'[1]Step 3. FA Balance'!$N$265</definedName>
    <definedName name="SumLoss1" localSheetId="4">'[1]Step 3. FA Balance'!$N$265</definedName>
    <definedName name="SumLoss1" localSheetId="9">'[1]Step 3. FA Balance'!$N$265</definedName>
    <definedName name="SumLoss1" localSheetId="10">'[1]Step 3. FA Balance'!$N$265</definedName>
    <definedName name="SumLoss1" localSheetId="7">'[1]Step 3. FA Balance'!$N$265</definedName>
    <definedName name="SumLoss1" localSheetId="8">'[1]Step 3. FA Balance'!$N$265</definedName>
    <definedName name="SumLoss1" localSheetId="1">'[1]Step 3. FA Balance'!$N$265</definedName>
    <definedName name="SumLoss1" localSheetId="3">'[1]Step 3. FA Balance'!$N$265</definedName>
    <definedName name="SumLoss1">'Step 3. FA Balance'!$N$265</definedName>
    <definedName name="SumLoss2" localSheetId="16">'[1]Step 3. FA Balance'!$N$269</definedName>
    <definedName name="SumLoss2" localSheetId="6">'[1]Step 3. FA Balance'!$N$269</definedName>
    <definedName name="SumLoss2" localSheetId="11">'[1]Step 3. FA Balance'!$N$269</definedName>
    <definedName name="SumLoss2" localSheetId="4">'[1]Step 3. FA Balance'!$N$269</definedName>
    <definedName name="SumLoss2" localSheetId="9">'[1]Step 3. FA Balance'!$N$269</definedName>
    <definedName name="SumLoss2" localSheetId="10">'[1]Step 3. FA Balance'!$N$269</definedName>
    <definedName name="SumLoss2" localSheetId="7">'[1]Step 3. FA Balance'!$N$269</definedName>
    <definedName name="SumLoss2" localSheetId="8">'[1]Step 3. FA Balance'!$N$269</definedName>
    <definedName name="SumLoss2" localSheetId="1">'[1]Step 3. FA Balance'!$N$269</definedName>
    <definedName name="SumLoss2" localSheetId="3">'[1]Step 3. FA Balance'!$N$269</definedName>
    <definedName name="SumLoss2">'Step 3. FA Balance'!$N$269</definedName>
    <definedName name="SumLoss3" localSheetId="16">'[1]Step 3. FA Balance'!$N$273</definedName>
    <definedName name="SumLoss3" localSheetId="6">'[1]Step 3. FA Balance'!$N$273</definedName>
    <definedName name="SumLoss3" localSheetId="11">'[1]Step 3. FA Balance'!$N$273</definedName>
    <definedName name="SumLoss3" localSheetId="4">'[1]Step 3. FA Balance'!$N$273</definedName>
    <definedName name="SumLoss3" localSheetId="9">'[1]Step 3. FA Balance'!$N$273</definedName>
    <definedName name="SumLoss3" localSheetId="10">'[1]Step 3. FA Balance'!$N$273</definedName>
    <definedName name="SumLoss3" localSheetId="7">'[1]Step 3. FA Balance'!$N$273</definedName>
    <definedName name="SumLoss3" localSheetId="8">'[1]Step 3. FA Balance'!$N$273</definedName>
    <definedName name="SumLoss3" localSheetId="1">'[1]Step 3. FA Balance'!$N$273</definedName>
    <definedName name="SumLoss3" localSheetId="3">'[1]Step 3. FA Balance'!$N$273</definedName>
    <definedName name="SumLoss3">'Step 3. FA Balance'!$N$273</definedName>
    <definedName name="Summary">Instructions!$D$142</definedName>
    <definedName name="SummaryFeed">Instructions!$D$149</definedName>
    <definedName name="TimeControl">Instructions!$C$157</definedName>
    <definedName name="TimeControl1">'Step 5. Review TimeControlSched'!$18:$18</definedName>
    <definedName name="TimeControl10">'Step 5. Review TimeControlSched'!$27:$27</definedName>
    <definedName name="TimeControl11">'Step 5. Review TimeControlSched'!$28:$28</definedName>
    <definedName name="TimeControl12">'Step 5. Review TimeControlSched'!$29:$29</definedName>
    <definedName name="TimeControl13">'Step 5. Review TimeControlSched'!$30:$30</definedName>
    <definedName name="TimeControl14">'Step 5. Review TimeControlSched'!$31:$31</definedName>
    <definedName name="TimeControl15">'Step 5. Review TimeControlSched'!$32:$32</definedName>
    <definedName name="TimeControl16">'Step 5. Review TimeControlSched'!$33:$33</definedName>
    <definedName name="TimeControl17">'Step 5. Review TimeControlSched'!$34:$34</definedName>
    <definedName name="TimeControl18">'Step 5. Review TimeControlSched'!$35:$35</definedName>
    <definedName name="TimeControl19">'Step 5. Review TimeControlSched'!$36:$36</definedName>
    <definedName name="TimeControl2">'Step 5. Review TimeControlSched'!$19:$19</definedName>
    <definedName name="TimeControl20">'Step 5. Review TimeControlSched'!$37:$37</definedName>
    <definedName name="TimeControl21">'Step 5. Review TimeControlSched'!$38:$38</definedName>
    <definedName name="TimeControl22">'Step 5. Review TimeControlSched'!$39:$39</definedName>
    <definedName name="TimeControl23">'Step 5. Review TimeControlSched'!$40:$40</definedName>
    <definedName name="TimeControl24">'Step 5. Review TimeControlSched'!$41:$41</definedName>
    <definedName name="TimeControl3">'Step 5. Review TimeControlSched'!$20:$20</definedName>
    <definedName name="TimeControl4">'Step 5. Review TimeControlSched'!$21:$21</definedName>
    <definedName name="TimeControl5">'Step 5. Review TimeControlSched'!$22:$22</definedName>
    <definedName name="TimeControl6">'Step 5. Review TimeControlSched'!$23:$23</definedName>
    <definedName name="TimeControl7">'Step 5. Review TimeControlSched'!$24:$24</definedName>
    <definedName name="TimeControl8">'Step 5. Review TimeControlSched'!$25:$25</definedName>
    <definedName name="TimeControl9">'Step 5. Review TimeControlSched'!$26:$26</definedName>
    <definedName name="TotalAcreGrazed" localSheetId="16">'[1]Step 3. FA Balance'!$I$152</definedName>
    <definedName name="TotalAcreGrazed" localSheetId="6">'[1]Step 3. FA Balance'!$I$152</definedName>
    <definedName name="TotalAcreGrazed" localSheetId="11">'[1]Step 3. FA Balance'!$I$152</definedName>
    <definedName name="TotalAcreGrazed" localSheetId="4">'[1]Step 3. FA Balance'!$I$152</definedName>
    <definedName name="TotalAcreGrazed" localSheetId="9">'[1]Step 3. FA Balance'!$I$152</definedName>
    <definedName name="TotalAcreGrazed" localSheetId="10">'[1]Step 3. FA Balance'!$I$152</definedName>
    <definedName name="TotalAcreGrazed" localSheetId="7">'[1]Step 3. FA Balance'!$I$152</definedName>
    <definedName name="TotalAcreGrazed" localSheetId="8">'[1]Step 3. FA Balance'!$I$152</definedName>
    <definedName name="TotalAcreGrazed" localSheetId="1">'[1]Step 3. FA Balance'!$I$152</definedName>
    <definedName name="TotalAcreGrazed" localSheetId="3">'[1]Step 3. FA Balance'!$I$152</definedName>
    <definedName name="TotalAcreGrazed">'Step 3. FA Balance'!$I$152</definedName>
    <definedName name="TotalAltDemand">'Step 3. FA Balance'!$91:$94</definedName>
    <definedName name="Yield1" localSheetId="16">'[1]Step 3. FA Balance'!$J$103</definedName>
    <definedName name="Yield1" localSheetId="6">'[1]Step 3. FA Balance'!$J$103</definedName>
    <definedName name="Yield1" localSheetId="11">'[1]Step 3. FA Balance'!$J$103</definedName>
    <definedName name="Yield1" localSheetId="4">'[1]Step 3. FA Balance'!$J$103</definedName>
    <definedName name="Yield1" localSheetId="9">'[1]Step 3. FA Balance'!$J$103</definedName>
    <definedName name="Yield1" localSheetId="10">'[1]Step 3. FA Balance'!$J$103</definedName>
    <definedName name="Yield1" localSheetId="7">'[1]Step 3. FA Balance'!$J$103</definedName>
    <definedName name="Yield1" localSheetId="8">'[1]Step 3. FA Balance'!$J$103</definedName>
    <definedName name="Yield1" localSheetId="1">'[1]Step 3. FA Balance'!$J$103</definedName>
    <definedName name="Yield1" localSheetId="3">'[1]Step 3. FA Balance'!$J$103</definedName>
    <definedName name="Yield1">'Step 3. FA Balance'!$J$103</definedName>
    <definedName name="Yield10" localSheetId="16">'[1]Step 3. FA Balance'!$J$121</definedName>
    <definedName name="Yield10" localSheetId="6">'[1]Step 3. FA Balance'!$J$121</definedName>
    <definedName name="Yield10" localSheetId="11">'[1]Step 3. FA Balance'!$J$121</definedName>
    <definedName name="Yield10" localSheetId="4">'[1]Step 3. FA Balance'!$J$121</definedName>
    <definedName name="Yield10" localSheetId="9">'[1]Step 3. FA Balance'!$J$121</definedName>
    <definedName name="Yield10" localSheetId="10">'[1]Step 3. FA Balance'!$J$121</definedName>
    <definedName name="Yield10" localSheetId="7">'[1]Step 3. FA Balance'!$J$121</definedName>
    <definedName name="Yield10" localSheetId="8">'[1]Step 3. FA Balance'!$J$121</definedName>
    <definedName name="Yield10" localSheetId="1">'[1]Step 3. FA Balance'!$J$121</definedName>
    <definedName name="Yield10" localSheetId="3">'[1]Step 3. FA Balance'!$J$121</definedName>
    <definedName name="Yield10">'Step 3. FA Balance'!$J$121</definedName>
    <definedName name="Yield11" localSheetId="16">'[1]Step 3. FA Balance'!$J$123</definedName>
    <definedName name="Yield11" localSheetId="6">'[1]Step 3. FA Balance'!$J$123</definedName>
    <definedName name="Yield11" localSheetId="11">'[1]Step 3. FA Balance'!$J$123</definedName>
    <definedName name="Yield11" localSheetId="4">'[1]Step 3. FA Balance'!$J$123</definedName>
    <definedName name="Yield11" localSheetId="9">'[1]Step 3. FA Balance'!$J$123</definedName>
    <definedName name="Yield11" localSheetId="10">'[1]Step 3. FA Balance'!$J$123</definedName>
    <definedName name="Yield11" localSheetId="7">'[1]Step 3. FA Balance'!$J$123</definedName>
    <definedName name="Yield11" localSheetId="8">'[1]Step 3. FA Balance'!$J$123</definedName>
    <definedName name="Yield11" localSheetId="1">'[1]Step 3. FA Balance'!$J$123</definedName>
    <definedName name="Yield11" localSheetId="3">'[1]Step 3. FA Balance'!$J$123</definedName>
    <definedName name="Yield11">'Step 3. FA Balance'!$J$123</definedName>
    <definedName name="Yield12" localSheetId="16">'[1]Step 3. FA Balance'!$J$125</definedName>
    <definedName name="Yield12" localSheetId="6">'[1]Step 3. FA Balance'!$J$125</definedName>
    <definedName name="Yield12" localSheetId="11">'[1]Step 3. FA Balance'!$J$125</definedName>
    <definedName name="Yield12" localSheetId="4">'[1]Step 3. FA Balance'!$J$125</definedName>
    <definedName name="Yield12" localSheetId="9">'[1]Step 3. FA Balance'!$J$125</definedName>
    <definedName name="Yield12" localSheetId="10">'[1]Step 3. FA Balance'!$J$125</definedName>
    <definedName name="Yield12" localSheetId="7">'[1]Step 3. FA Balance'!$J$125</definedName>
    <definedName name="Yield12" localSheetId="8">'[1]Step 3. FA Balance'!$J$125</definedName>
    <definedName name="Yield12" localSheetId="1">'[1]Step 3. FA Balance'!$J$125</definedName>
    <definedName name="Yield12" localSheetId="3">'[1]Step 3. FA Balance'!$J$125</definedName>
    <definedName name="Yield12">'Step 3. FA Balance'!$J$125</definedName>
    <definedName name="Yield13" localSheetId="16">'[1]Step 3. FA Balance'!$J$127</definedName>
    <definedName name="Yield13" localSheetId="6">'[1]Step 3. FA Balance'!$J$127</definedName>
    <definedName name="Yield13" localSheetId="11">'[1]Step 3. FA Balance'!$J$127</definedName>
    <definedName name="Yield13" localSheetId="4">'[1]Step 3. FA Balance'!$J$127</definedName>
    <definedName name="Yield13" localSheetId="9">'[1]Step 3. FA Balance'!$J$127</definedName>
    <definedName name="Yield13" localSheetId="10">'[1]Step 3. FA Balance'!$J$127</definedName>
    <definedName name="Yield13" localSheetId="7">'[1]Step 3. FA Balance'!$J$127</definedName>
    <definedName name="Yield13" localSheetId="8">'[1]Step 3. FA Balance'!$J$127</definedName>
    <definedName name="Yield13" localSheetId="1">'[1]Step 3. FA Balance'!$J$127</definedName>
    <definedName name="Yield13" localSheetId="3">'[1]Step 3. FA Balance'!$J$127</definedName>
    <definedName name="Yield13">'Step 3. FA Balance'!$J$127</definedName>
    <definedName name="Yield14" localSheetId="16">'[1]Step 3. FA Balance'!$J$129</definedName>
    <definedName name="Yield14" localSheetId="6">'[1]Step 3. FA Balance'!$J$129</definedName>
    <definedName name="Yield14" localSheetId="11">'[1]Step 3. FA Balance'!$J$129</definedName>
    <definedName name="Yield14" localSheetId="4">'[1]Step 3. FA Balance'!$J$129</definedName>
    <definedName name="Yield14" localSheetId="9">'[1]Step 3. FA Balance'!$J$129</definedName>
    <definedName name="Yield14" localSheetId="10">'[1]Step 3. FA Balance'!$J$129</definedName>
    <definedName name="Yield14" localSheetId="7">'[1]Step 3. FA Balance'!$J$129</definedName>
    <definedName name="Yield14" localSheetId="8">'[1]Step 3. FA Balance'!$J$129</definedName>
    <definedName name="Yield14" localSheetId="1">'[1]Step 3. FA Balance'!$J$129</definedName>
    <definedName name="Yield14" localSheetId="3">'[1]Step 3. FA Balance'!$J$129</definedName>
    <definedName name="Yield14">'Step 3. FA Balance'!$J$129</definedName>
    <definedName name="Yield15" localSheetId="16">'[1]Step 3. FA Balance'!$J$131</definedName>
    <definedName name="Yield15" localSheetId="6">'[1]Step 3. FA Balance'!$J$131</definedName>
    <definedName name="Yield15" localSheetId="11">'[1]Step 3. FA Balance'!$J$131</definedName>
    <definedName name="Yield15" localSheetId="4">'[1]Step 3. FA Balance'!$J$131</definedName>
    <definedName name="Yield15" localSheetId="9">'[1]Step 3. FA Balance'!$J$131</definedName>
    <definedName name="Yield15" localSheetId="10">'[1]Step 3. FA Balance'!$J$131</definedName>
    <definedName name="Yield15" localSheetId="7">'[1]Step 3. FA Balance'!$J$131</definedName>
    <definedName name="Yield15" localSheetId="8">'[1]Step 3. FA Balance'!$J$131</definedName>
    <definedName name="Yield15" localSheetId="1">'[1]Step 3. FA Balance'!$J$131</definedName>
    <definedName name="Yield15" localSheetId="3">'[1]Step 3. FA Balance'!$J$131</definedName>
    <definedName name="Yield15">'Step 3. FA Balance'!$J$131</definedName>
    <definedName name="Yield16" localSheetId="16">'[1]Step 3. FA Balance'!$J$133</definedName>
    <definedName name="Yield16" localSheetId="6">'[1]Step 3. FA Balance'!$J$133</definedName>
    <definedName name="Yield16" localSheetId="11">'[1]Step 3. FA Balance'!$J$133</definedName>
    <definedName name="Yield16" localSheetId="4">'[1]Step 3. FA Balance'!$J$133</definedName>
    <definedName name="Yield16" localSheetId="9">'[1]Step 3. FA Balance'!$J$133</definedName>
    <definedName name="Yield16" localSheetId="10">'[1]Step 3. FA Balance'!$J$133</definedName>
    <definedName name="Yield16" localSheetId="7">'[1]Step 3. FA Balance'!$J$133</definedName>
    <definedName name="Yield16" localSheetId="8">'[1]Step 3. FA Balance'!$J$133</definedName>
    <definedName name="Yield16" localSheetId="1">'[1]Step 3. FA Balance'!$J$133</definedName>
    <definedName name="Yield16" localSheetId="3">'[1]Step 3. FA Balance'!$J$133</definedName>
    <definedName name="Yield16">'Step 3. FA Balance'!$J$133</definedName>
    <definedName name="Yield17" localSheetId="16">'[1]Step 3. FA Balance'!$J$135</definedName>
    <definedName name="Yield17" localSheetId="6">'[1]Step 3. FA Balance'!$J$135</definedName>
    <definedName name="Yield17" localSheetId="11">'[1]Step 3. FA Balance'!$J$135</definedName>
    <definedName name="Yield17" localSheetId="4">'[1]Step 3. FA Balance'!$J$135</definedName>
    <definedName name="Yield17" localSheetId="9">'[1]Step 3. FA Balance'!$J$135</definedName>
    <definedName name="Yield17" localSheetId="10">'[1]Step 3. FA Balance'!$J$135</definedName>
    <definedName name="Yield17" localSheetId="7">'[1]Step 3. FA Balance'!$J$135</definedName>
    <definedName name="Yield17" localSheetId="8">'[1]Step 3. FA Balance'!$J$135</definedName>
    <definedName name="Yield17" localSheetId="1">'[1]Step 3. FA Balance'!$J$135</definedName>
    <definedName name="Yield17" localSheetId="3">'[1]Step 3. FA Balance'!$J$135</definedName>
    <definedName name="Yield17">'Step 3. FA Balance'!$J$135</definedName>
    <definedName name="Yield18" localSheetId="16">'[1]Step 3. FA Balance'!$J$137</definedName>
    <definedName name="Yield18" localSheetId="6">'[1]Step 3. FA Balance'!$J$137</definedName>
    <definedName name="Yield18" localSheetId="11">'[1]Step 3. FA Balance'!$J$137</definedName>
    <definedName name="Yield18" localSheetId="4">'[1]Step 3. FA Balance'!$J$137</definedName>
    <definedName name="Yield18" localSheetId="9">'[1]Step 3. FA Balance'!$J$137</definedName>
    <definedName name="Yield18" localSheetId="10">'[1]Step 3. FA Balance'!$J$137</definedName>
    <definedName name="Yield18" localSheetId="7">'[1]Step 3. FA Balance'!$J$137</definedName>
    <definedName name="Yield18" localSheetId="8">'[1]Step 3. FA Balance'!$J$137</definedName>
    <definedName name="Yield18" localSheetId="1">'[1]Step 3. FA Balance'!$J$137</definedName>
    <definedName name="Yield18" localSheetId="3">'[1]Step 3. FA Balance'!$J$137</definedName>
    <definedName name="Yield18">'Step 3. FA Balance'!$J$137</definedName>
    <definedName name="Yield19" localSheetId="16">'[1]Step 3. FA Balance'!$J$139</definedName>
    <definedName name="Yield19" localSheetId="6">'[1]Step 3. FA Balance'!$J$139</definedName>
    <definedName name="Yield19" localSheetId="11">'[1]Step 3. FA Balance'!$J$139</definedName>
    <definedName name="Yield19" localSheetId="4">'[1]Step 3. FA Balance'!$J$139</definedName>
    <definedName name="Yield19" localSheetId="9">'[1]Step 3. FA Balance'!$J$139</definedName>
    <definedName name="Yield19" localSheetId="10">'[1]Step 3. FA Balance'!$J$139</definedName>
    <definedName name="Yield19" localSheetId="7">'[1]Step 3. FA Balance'!$J$139</definedName>
    <definedName name="Yield19" localSheetId="8">'[1]Step 3. FA Balance'!$J$139</definedName>
    <definedName name="Yield19" localSheetId="1">'[1]Step 3. FA Balance'!$J$139</definedName>
    <definedName name="Yield19" localSheetId="3">'[1]Step 3. FA Balance'!$J$139</definedName>
    <definedName name="Yield19">'Step 3. FA Balance'!$J$139</definedName>
    <definedName name="Yield2" localSheetId="16">'[1]Step 3. FA Balance'!$J$105</definedName>
    <definedName name="Yield2" localSheetId="6">'[1]Step 3. FA Balance'!$J$105</definedName>
    <definedName name="Yield2" localSheetId="11">'[1]Step 3. FA Balance'!$J$105</definedName>
    <definedName name="Yield2" localSheetId="4">'[1]Step 3. FA Balance'!$J$105</definedName>
    <definedName name="Yield2" localSheetId="9">'[1]Step 3. FA Balance'!$J$105</definedName>
    <definedName name="Yield2" localSheetId="10">'[1]Step 3. FA Balance'!$J$105</definedName>
    <definedName name="Yield2" localSheetId="7">'[1]Step 3. FA Balance'!$J$105</definedName>
    <definedName name="Yield2" localSheetId="8">'[1]Step 3. FA Balance'!$J$105</definedName>
    <definedName name="Yield2" localSheetId="1">'[1]Step 3. FA Balance'!$J$105</definedName>
    <definedName name="Yield2" localSheetId="3">'[1]Step 3. FA Balance'!$J$105</definedName>
    <definedName name="Yield2">'Step 3. FA Balance'!$J$105</definedName>
    <definedName name="Yield20" localSheetId="16">'[1]Step 3. FA Balance'!$J$141</definedName>
    <definedName name="Yield20" localSheetId="6">'[1]Step 3. FA Balance'!$J$141</definedName>
    <definedName name="Yield20" localSheetId="11">'[1]Step 3. FA Balance'!$J$141</definedName>
    <definedName name="Yield20" localSheetId="4">'[1]Step 3. FA Balance'!$J$141</definedName>
    <definedName name="Yield20" localSheetId="9">'[1]Step 3. FA Balance'!$J$141</definedName>
    <definedName name="Yield20" localSheetId="10">'[1]Step 3. FA Balance'!$J$141</definedName>
    <definedName name="Yield20" localSheetId="7">'[1]Step 3. FA Balance'!$J$141</definedName>
    <definedName name="Yield20" localSheetId="8">'[1]Step 3. FA Balance'!$J$141</definedName>
    <definedName name="Yield20" localSheetId="1">'[1]Step 3. FA Balance'!$J$141</definedName>
    <definedName name="Yield20" localSheetId="3">'[1]Step 3. FA Balance'!$J$141</definedName>
    <definedName name="Yield20">'Step 3. FA Balance'!$J$141</definedName>
    <definedName name="Yield21" localSheetId="16">'[1]Step 3. FA Balance'!$J$143</definedName>
    <definedName name="Yield21" localSheetId="6">'[1]Step 3. FA Balance'!$J$143</definedName>
    <definedName name="Yield21" localSheetId="11">'[1]Step 3. FA Balance'!$J$143</definedName>
    <definedName name="Yield21" localSheetId="4">'[1]Step 3. FA Balance'!$J$143</definedName>
    <definedName name="Yield21" localSheetId="9">'[1]Step 3. FA Balance'!$J$143</definedName>
    <definedName name="Yield21" localSheetId="10">'[1]Step 3. FA Balance'!$J$143</definedName>
    <definedName name="Yield21" localSheetId="7">'[1]Step 3. FA Balance'!$J$143</definedName>
    <definedName name="Yield21" localSheetId="8">'[1]Step 3. FA Balance'!$J$143</definedName>
    <definedName name="Yield21" localSheetId="1">'[1]Step 3. FA Balance'!$J$143</definedName>
    <definedName name="Yield21" localSheetId="3">'[1]Step 3. FA Balance'!$J$143</definedName>
    <definedName name="Yield21">'Step 3. FA Balance'!$J$143</definedName>
    <definedName name="Yield22" localSheetId="16">'[1]Step 3. FA Balance'!$J$145</definedName>
    <definedName name="Yield22" localSheetId="6">'[1]Step 3. FA Balance'!$J$145</definedName>
    <definedName name="Yield22" localSheetId="11">'[1]Step 3. FA Balance'!$J$145</definedName>
    <definedName name="Yield22" localSheetId="4">'[1]Step 3. FA Balance'!$J$145</definedName>
    <definedName name="Yield22" localSheetId="9">'[1]Step 3. FA Balance'!$J$145</definedName>
    <definedName name="Yield22" localSheetId="10">'[1]Step 3. FA Balance'!$J$145</definedName>
    <definedName name="Yield22" localSheetId="7">'[1]Step 3. FA Balance'!$J$145</definedName>
    <definedName name="Yield22" localSheetId="8">'[1]Step 3. FA Balance'!$J$145</definedName>
    <definedName name="Yield22" localSheetId="1">'[1]Step 3. FA Balance'!$J$145</definedName>
    <definedName name="Yield22" localSheetId="3">'[1]Step 3. FA Balance'!$J$145</definedName>
    <definedName name="Yield22">'Step 3. FA Balance'!$J$145</definedName>
    <definedName name="Yield23" localSheetId="16">'[1]Step 3. FA Balance'!$J$147</definedName>
    <definedName name="Yield23" localSheetId="6">'[1]Step 3. FA Balance'!$J$147</definedName>
    <definedName name="Yield23" localSheetId="11">'[1]Step 3. FA Balance'!$J$147</definedName>
    <definedName name="Yield23" localSheetId="4">'[1]Step 3. FA Balance'!$J$147</definedName>
    <definedName name="Yield23" localSheetId="9">'[1]Step 3. FA Balance'!$J$147</definedName>
    <definedName name="Yield23" localSheetId="10">'[1]Step 3. FA Balance'!$J$147</definedName>
    <definedName name="Yield23" localSheetId="7">'[1]Step 3. FA Balance'!$J$147</definedName>
    <definedName name="Yield23" localSheetId="8">'[1]Step 3. FA Balance'!$J$147</definedName>
    <definedName name="Yield23" localSheetId="1">'[1]Step 3. FA Balance'!$J$147</definedName>
    <definedName name="Yield23" localSheetId="3">'[1]Step 3. FA Balance'!$J$147</definedName>
    <definedName name="Yield23">'Step 3. FA Balance'!$J$147</definedName>
    <definedName name="Yield24" localSheetId="16">'[1]Step 3. FA Balance'!$J$149</definedName>
    <definedName name="Yield24" localSheetId="6">'[1]Step 3. FA Balance'!$J$149</definedName>
    <definedName name="Yield24" localSheetId="11">'[1]Step 3. FA Balance'!$J$149</definedName>
    <definedName name="Yield24" localSheetId="4">'[1]Step 3. FA Balance'!$J$149</definedName>
    <definedName name="Yield24" localSheetId="9">'[1]Step 3. FA Balance'!$J$149</definedName>
    <definedName name="Yield24" localSheetId="10">'[1]Step 3. FA Balance'!$J$149</definedName>
    <definedName name="Yield24" localSheetId="7">'[1]Step 3. FA Balance'!$J$149</definedName>
    <definedName name="Yield24" localSheetId="8">'[1]Step 3. FA Balance'!$J$149</definedName>
    <definedName name="Yield24" localSheetId="1">'[1]Step 3. FA Balance'!$J$149</definedName>
    <definedName name="Yield24" localSheetId="3">'[1]Step 3. FA Balance'!$J$149</definedName>
    <definedName name="Yield24">'Step 3. FA Balance'!$J$149</definedName>
    <definedName name="Yield3" localSheetId="16">'[1]Step 3. FA Balance'!$J$107</definedName>
    <definedName name="Yield3" localSheetId="6">'[1]Step 3. FA Balance'!$J$107</definedName>
    <definedName name="Yield3" localSheetId="11">'[1]Step 3. FA Balance'!$J$107</definedName>
    <definedName name="Yield3" localSheetId="4">'[1]Step 3. FA Balance'!$J$107</definedName>
    <definedName name="Yield3" localSheetId="9">'[1]Step 3. FA Balance'!$J$107</definedName>
    <definedName name="Yield3" localSheetId="10">'[1]Step 3. FA Balance'!$J$107</definedName>
    <definedName name="Yield3" localSheetId="7">'[1]Step 3. FA Balance'!$J$107</definedName>
    <definedName name="Yield3" localSheetId="8">'[1]Step 3. FA Balance'!$J$107</definedName>
    <definedName name="Yield3" localSheetId="1">'[1]Step 3. FA Balance'!$J$107</definedName>
    <definedName name="Yield3" localSheetId="3">'[1]Step 3. FA Balance'!$J$107</definedName>
    <definedName name="Yield3">'Step 3. FA Balance'!$J$107</definedName>
    <definedName name="Yield4" localSheetId="16">'[1]Step 3. FA Balance'!$J$109</definedName>
    <definedName name="Yield4" localSheetId="6">'[1]Step 3. FA Balance'!$J$109</definedName>
    <definedName name="Yield4" localSheetId="11">'[1]Step 3. FA Balance'!$J$109</definedName>
    <definedName name="Yield4" localSheetId="4">'[1]Step 3. FA Balance'!$J$109</definedName>
    <definedName name="Yield4" localSheetId="9">'[1]Step 3. FA Balance'!$J$109</definedName>
    <definedName name="Yield4" localSheetId="10">'[1]Step 3. FA Balance'!$J$109</definedName>
    <definedName name="Yield4" localSheetId="7">'[1]Step 3. FA Balance'!$J$109</definedName>
    <definedName name="Yield4" localSheetId="8">'[1]Step 3. FA Balance'!$J$109</definedName>
    <definedName name="Yield4" localSheetId="1">'[1]Step 3. FA Balance'!$J$109</definedName>
    <definedName name="Yield4" localSheetId="3">'[1]Step 3. FA Balance'!$J$109</definedName>
    <definedName name="Yield4">'Step 3. FA Balance'!$J$109</definedName>
    <definedName name="Yield5" localSheetId="16">'[1]Step 3. FA Balance'!$J$111</definedName>
    <definedName name="Yield5" localSheetId="6">'[1]Step 3. FA Balance'!$J$111</definedName>
    <definedName name="Yield5" localSheetId="11">'[1]Step 3. FA Balance'!$J$111</definedName>
    <definedName name="Yield5" localSheetId="4">'[1]Step 3. FA Balance'!$J$111</definedName>
    <definedName name="Yield5" localSheetId="9">'[1]Step 3. FA Balance'!$J$111</definedName>
    <definedName name="Yield5" localSheetId="10">'[1]Step 3. FA Balance'!$J$111</definedName>
    <definedName name="Yield5" localSheetId="7">'[1]Step 3. FA Balance'!$J$111</definedName>
    <definedName name="Yield5" localSheetId="8">'[1]Step 3. FA Balance'!$J$111</definedName>
    <definedName name="Yield5" localSheetId="1">'[1]Step 3. FA Balance'!$J$111</definedName>
    <definedName name="Yield5" localSheetId="3">'[1]Step 3. FA Balance'!$J$111</definedName>
    <definedName name="Yield5">'Step 3. FA Balance'!$J$111</definedName>
    <definedName name="Yield6" localSheetId="16">'[1]Step 3. FA Balance'!$J$113</definedName>
    <definedName name="Yield6" localSheetId="6">'[1]Step 3. FA Balance'!$J$113</definedName>
    <definedName name="Yield6" localSheetId="11">'[1]Step 3. FA Balance'!$J$113</definedName>
    <definedName name="Yield6" localSheetId="4">'[1]Step 3. FA Balance'!$J$113</definedName>
    <definedName name="Yield6" localSheetId="9">'[1]Step 3. FA Balance'!$J$113</definedName>
    <definedName name="Yield6" localSheetId="10">'[1]Step 3. FA Balance'!$J$113</definedName>
    <definedName name="Yield6" localSheetId="7">'[1]Step 3. FA Balance'!$J$113</definedName>
    <definedName name="Yield6" localSheetId="8">'[1]Step 3. FA Balance'!$J$113</definedName>
    <definedName name="Yield6" localSheetId="1">'[1]Step 3. FA Balance'!$J$113</definedName>
    <definedName name="Yield6" localSheetId="3">'[1]Step 3. FA Balance'!$J$113</definedName>
    <definedName name="Yield6">'Step 3. FA Balance'!$J$113</definedName>
    <definedName name="Yield7" localSheetId="16">'[1]Step 3. FA Balance'!$J$115</definedName>
    <definedName name="Yield7" localSheetId="6">'[1]Step 3. FA Balance'!$J$115</definedName>
    <definedName name="Yield7" localSheetId="11">'[1]Step 3. FA Balance'!$J$115</definedName>
    <definedName name="Yield7" localSheetId="4">'[1]Step 3. FA Balance'!$J$115</definedName>
    <definedName name="Yield7" localSheetId="9">'[1]Step 3. FA Balance'!$J$115</definedName>
    <definedName name="Yield7" localSheetId="10">'[1]Step 3. FA Balance'!$J$115</definedName>
    <definedName name="Yield7" localSheetId="7">'[1]Step 3. FA Balance'!$J$115</definedName>
    <definedName name="Yield7" localSheetId="8">'[1]Step 3. FA Balance'!$J$115</definedName>
    <definedName name="Yield7" localSheetId="1">'[1]Step 3. FA Balance'!$J$115</definedName>
    <definedName name="Yield7" localSheetId="3">'[1]Step 3. FA Balance'!$J$115</definedName>
    <definedName name="Yield7">'Step 3. FA Balance'!$J$115</definedName>
    <definedName name="Yield8" localSheetId="16">'[1]Step 3. FA Balance'!$J$117</definedName>
    <definedName name="Yield8" localSheetId="6">'[1]Step 3. FA Balance'!$J$117</definedName>
    <definedName name="Yield8" localSheetId="11">'[1]Step 3. FA Balance'!$J$117</definedName>
    <definedName name="Yield8" localSheetId="4">'[1]Step 3. FA Balance'!$J$117</definedName>
    <definedName name="Yield8" localSheetId="9">'[1]Step 3. FA Balance'!$J$117</definedName>
    <definedName name="Yield8" localSheetId="10">'[1]Step 3. FA Balance'!$J$117</definedName>
    <definedName name="Yield8" localSheetId="7">'[1]Step 3. FA Balance'!$J$117</definedName>
    <definedName name="Yield8" localSheetId="8">'[1]Step 3. FA Balance'!$J$117</definedName>
    <definedName name="Yield8" localSheetId="1">'[1]Step 3. FA Balance'!$J$117</definedName>
    <definedName name="Yield8" localSheetId="3">'[1]Step 3. FA Balance'!$J$117</definedName>
    <definedName name="Yield8">'Step 3. FA Balance'!$J$117</definedName>
    <definedName name="Yield9" localSheetId="16">'[1]Step 3. FA Balance'!$J$119</definedName>
    <definedName name="Yield9" localSheetId="6">'[1]Step 3. FA Balance'!$J$119</definedName>
    <definedName name="Yield9" localSheetId="11">'[1]Step 3. FA Balance'!$J$119</definedName>
    <definedName name="Yield9" localSheetId="4">'[1]Step 3. FA Balance'!$J$119</definedName>
    <definedName name="Yield9" localSheetId="9">'[1]Step 3. FA Balance'!$J$119</definedName>
    <definedName name="Yield9" localSheetId="10">'[1]Step 3. FA Balance'!$J$119</definedName>
    <definedName name="Yield9" localSheetId="7">'[1]Step 3. FA Balance'!$J$119</definedName>
    <definedName name="Yield9" localSheetId="8">'[1]Step 3. FA Balance'!$J$119</definedName>
    <definedName name="Yield9" localSheetId="1">'[1]Step 3. FA Balance'!$J$119</definedName>
    <definedName name="Yield9" localSheetId="3">'[1]Step 3. FA Balance'!$J$119</definedName>
    <definedName name="Yield9">'Step 3. FA Balance'!$J$119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29" l="1"/>
  <c r="N73" i="27"/>
  <c r="M73" i="27"/>
  <c r="N55" i="27"/>
  <c r="M55" i="27"/>
  <c r="E109" i="27"/>
  <c r="D109" i="27"/>
  <c r="W91" i="27"/>
  <c r="V91" i="27"/>
  <c r="T91" i="27"/>
  <c r="S91" i="27"/>
  <c r="Q91" i="27"/>
  <c r="P91" i="27"/>
  <c r="N91" i="27"/>
  <c r="M91" i="27"/>
  <c r="H91" i="27"/>
  <c r="G91" i="27"/>
  <c r="E91" i="27"/>
  <c r="D91" i="27"/>
  <c r="E73" i="27"/>
  <c r="D73" i="27"/>
  <c r="H55" i="27"/>
  <c r="G55" i="27"/>
  <c r="D55" i="27"/>
  <c r="E55" i="27"/>
  <c r="Y159" i="29"/>
  <c r="Z159" i="29"/>
  <c r="AA159" i="29"/>
  <c r="AB159" i="29"/>
  <c r="AC159" i="29"/>
  <c r="AD159" i="29"/>
  <c r="AE159" i="29"/>
  <c r="AF159" i="29"/>
  <c r="AG159" i="29"/>
  <c r="AH159" i="29"/>
  <c r="AI159" i="29"/>
  <c r="AJ159" i="29"/>
  <c r="X159" i="29"/>
  <c r="V8" i="13" l="1"/>
  <c r="V9" i="13"/>
  <c r="V10" i="13"/>
  <c r="V11" i="13"/>
  <c r="V12" i="13"/>
  <c r="V13" i="13"/>
  <c r="V14" i="13"/>
  <c r="V15" i="13"/>
  <c r="V16" i="13"/>
  <c r="V17" i="13"/>
  <c r="V18" i="13"/>
  <c r="V19" i="13"/>
  <c r="V20" i="13"/>
  <c r="V21" i="13"/>
  <c r="V22" i="13"/>
  <c r="V23" i="13"/>
  <c r="V24" i="13"/>
  <c r="V25" i="13"/>
  <c r="V26" i="13"/>
  <c r="V27" i="13"/>
  <c r="V7" i="13"/>
  <c r="G126" i="28"/>
  <c r="H126" i="28"/>
  <c r="I126" i="28"/>
  <c r="J126" i="28"/>
  <c r="K126" i="28"/>
  <c r="L126" i="28"/>
  <c r="M126" i="28"/>
  <c r="N126" i="28"/>
  <c r="O126" i="28"/>
  <c r="P126" i="28"/>
  <c r="Q126" i="28"/>
  <c r="F126" i="28"/>
  <c r="Z70" i="35"/>
  <c r="Z69" i="35"/>
  <c r="Z68" i="35"/>
  <c r="V70" i="35"/>
  <c r="V69" i="35"/>
  <c r="V68" i="35"/>
  <c r="J70" i="35"/>
  <c r="J69" i="35"/>
  <c r="J68" i="35"/>
  <c r="V42" i="35"/>
  <c r="V43" i="35"/>
  <c r="V44" i="35"/>
  <c r="V45" i="35"/>
  <c r="V46" i="35"/>
  <c r="V47" i="35"/>
  <c r="V48" i="35"/>
  <c r="V49" i="35"/>
  <c r="V50" i="35"/>
  <c r="V51" i="35"/>
  <c r="V52" i="35"/>
  <c r="V53" i="35"/>
  <c r="V54" i="35"/>
  <c r="V55" i="35"/>
  <c r="V56" i="35"/>
  <c r="V57" i="35"/>
  <c r="V58" i="35"/>
  <c r="V59" i="35"/>
  <c r="V60" i="35"/>
  <c r="V61" i="35"/>
  <c r="V62" i="35"/>
  <c r="V63" i="35"/>
  <c r="V64" i="35"/>
  <c r="V65" i="35"/>
  <c r="V66" i="35"/>
  <c r="V67" i="35"/>
  <c r="V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41" i="35"/>
  <c r="L12" i="31"/>
  <c r="C10" i="31"/>
  <c r="C6" i="31"/>
  <c r="C126" i="28"/>
  <c r="R126" i="28" l="1"/>
  <c r="L149" i="1"/>
  <c r="L147" i="1"/>
  <c r="L145" i="1"/>
  <c r="L143" i="1"/>
  <c r="L141" i="1"/>
  <c r="L139" i="1"/>
  <c r="L137" i="1"/>
  <c r="L135" i="1"/>
  <c r="L133" i="1"/>
  <c r="L131" i="1"/>
  <c r="L129" i="1"/>
  <c r="L127" i="1"/>
  <c r="L125" i="1"/>
  <c r="L123" i="1"/>
  <c r="L121" i="1"/>
  <c r="L119" i="1"/>
  <c r="L117" i="1"/>
  <c r="L115" i="1"/>
  <c r="K71" i="31"/>
  <c r="M71" i="31"/>
  <c r="K67" i="31"/>
  <c r="K68" i="31"/>
  <c r="K69" i="31"/>
  <c r="K70" i="31"/>
  <c r="G67" i="31"/>
  <c r="G68" i="31"/>
  <c r="G69" i="31"/>
  <c r="G70" i="31"/>
  <c r="G66" i="31"/>
  <c r="G77" i="31"/>
  <c r="G78" i="31"/>
  <c r="G79" i="31"/>
  <c r="G80" i="31"/>
  <c r="G76" i="31"/>
  <c r="S30" i="31" l="1"/>
  <c r="R30" i="31"/>
  <c r="Q30" i="31"/>
  <c r="C119" i="31" s="1"/>
  <c r="F111" i="28"/>
  <c r="A33" i="31" s="1"/>
  <c r="Q11" i="13"/>
  <c r="Q29" i="13"/>
  <c r="Q28" i="13"/>
  <c r="Q27" i="13"/>
  <c r="Q26" i="13"/>
  <c r="Q25" i="13"/>
  <c r="Q24" i="13"/>
  <c r="Q23" i="13"/>
  <c r="Q22" i="13"/>
  <c r="Q21" i="13"/>
  <c r="Q20" i="13"/>
  <c r="Q19" i="13"/>
  <c r="Q18" i="13"/>
  <c r="Q17" i="13"/>
  <c r="Q16" i="13"/>
  <c r="Q15" i="13"/>
  <c r="Q14" i="13"/>
  <c r="Q13" i="13"/>
  <c r="Q12" i="13"/>
  <c r="Q10" i="13"/>
  <c r="Q9" i="13"/>
  <c r="Q8" i="13"/>
  <c r="Q7" i="13"/>
  <c r="Q6" i="13"/>
  <c r="AF30" i="35" l="1"/>
  <c r="AF31" i="35"/>
  <c r="AF32" i="35"/>
  <c r="AF33" i="35"/>
  <c r="AF34" i="35"/>
  <c r="AF91" i="35"/>
  <c r="AG91" i="35" s="1"/>
  <c r="AF92" i="35"/>
  <c r="AF94" i="35"/>
  <c r="AF95" i="35"/>
  <c r="AF96" i="35"/>
  <c r="AF97" i="35"/>
  <c r="AF98" i="35"/>
  <c r="AF99" i="35"/>
  <c r="AF100" i="35"/>
  <c r="AF101" i="35"/>
  <c r="AF103" i="35"/>
  <c r="AF104" i="35"/>
  <c r="AF105" i="35"/>
  <c r="AF106" i="35"/>
  <c r="AF107" i="35"/>
  <c r="J114" i="35"/>
  <c r="V114" i="35"/>
  <c r="J115" i="35"/>
  <c r="V115" i="35"/>
  <c r="J116" i="35"/>
  <c r="V116" i="35"/>
  <c r="J117" i="35"/>
  <c r="V117" i="35"/>
  <c r="J118" i="35"/>
  <c r="V118" i="35"/>
  <c r="J119" i="35"/>
  <c r="V119" i="35"/>
  <c r="J120" i="35"/>
  <c r="V120" i="35"/>
  <c r="J121" i="35"/>
  <c r="V121" i="35"/>
  <c r="J122" i="35"/>
  <c r="V122" i="35"/>
  <c r="J123" i="35"/>
  <c r="V123" i="35"/>
  <c r="J124" i="35"/>
  <c r="V124" i="35"/>
  <c r="J125" i="35"/>
  <c r="V125" i="35"/>
  <c r="J126" i="35"/>
  <c r="V126" i="35"/>
  <c r="J127" i="35"/>
  <c r="V127" i="35"/>
  <c r="J128" i="35"/>
  <c r="V128" i="35"/>
  <c r="J129" i="35"/>
  <c r="V129" i="35"/>
  <c r="J130" i="35"/>
  <c r="V130" i="35"/>
  <c r="J131" i="35"/>
  <c r="V131" i="35"/>
  <c r="J132" i="35"/>
  <c r="V132" i="35"/>
  <c r="J133" i="35"/>
  <c r="V133" i="35"/>
  <c r="J134" i="35"/>
  <c r="V134" i="35"/>
  <c r="J135" i="35"/>
  <c r="V135" i="35"/>
  <c r="J136" i="35"/>
  <c r="V136" i="35"/>
  <c r="J137" i="35"/>
  <c r="V137" i="35"/>
  <c r="J138" i="35"/>
  <c r="V138" i="35"/>
  <c r="J139" i="35"/>
  <c r="V139" i="35"/>
  <c r="J140" i="35"/>
  <c r="V140" i="35"/>
  <c r="AF34" i="34"/>
  <c r="AF35" i="34"/>
  <c r="AF36" i="34"/>
  <c r="AF37" i="34"/>
  <c r="B24" i="31"/>
  <c r="L24" i="31"/>
  <c r="B25" i="31"/>
  <c r="L25" i="31"/>
  <c r="B26" i="31"/>
  <c r="L26" i="31"/>
  <c r="A34" i="31"/>
  <c r="B34" i="31" s="1" a="1"/>
  <c r="B34" i="31" s="1"/>
  <c r="I66" i="31" a="1"/>
  <c r="I66" i="31" s="1"/>
  <c r="M66" i="31" s="1"/>
  <c r="I67" i="31" a="1"/>
  <c r="I67" i="31" s="1"/>
  <c r="M67" i="31"/>
  <c r="I68" i="31" a="1"/>
  <c r="I68" i="31" s="1"/>
  <c r="M68" i="31"/>
  <c r="I69" i="31" a="1"/>
  <c r="I69" i="31" s="1"/>
  <c r="M69" i="31"/>
  <c r="I70" i="31" a="1"/>
  <c r="I70" i="31" s="1"/>
  <c r="M70" i="31"/>
  <c r="I74" i="31"/>
  <c r="I76" i="31" a="1"/>
  <c r="I76" i="31" s="1"/>
  <c r="I81" i="31" s="1"/>
  <c r="I77" i="31" a="1"/>
  <c r="I77" i="31" s="1"/>
  <c r="K77" i="31"/>
  <c r="M77" i="31"/>
  <c r="I78" i="31" a="1"/>
  <c r="I78" i="31" s="1"/>
  <c r="K78" i="31"/>
  <c r="M78" i="31"/>
  <c r="I79" i="31" a="1"/>
  <c r="I79" i="31" s="1"/>
  <c r="K79" i="31"/>
  <c r="M79" i="31"/>
  <c r="I80" i="31" a="1"/>
  <c r="I80" i="31" s="1"/>
  <c r="K80" i="31"/>
  <c r="M80" i="31"/>
  <c r="B84" i="31"/>
  <c r="R85" i="31"/>
  <c r="R86" i="31" s="1"/>
  <c r="A111" i="31"/>
  <c r="Q114" i="31"/>
  <c r="C114" i="31" s="1"/>
  <c r="Q115" i="31"/>
  <c r="C115" i="31" s="1"/>
  <c r="B6" i="13"/>
  <c r="O6" i="13" s="1"/>
  <c r="N29" i="13"/>
  <c r="M29" i="13"/>
  <c r="L29" i="13"/>
  <c r="K29" i="13"/>
  <c r="J29" i="13"/>
  <c r="I29" i="13"/>
  <c r="H29" i="13"/>
  <c r="G29" i="13"/>
  <c r="F29" i="13"/>
  <c r="E29" i="13"/>
  <c r="D29" i="13"/>
  <c r="C29" i="13"/>
  <c r="N28" i="13"/>
  <c r="M28" i="13"/>
  <c r="L28" i="13"/>
  <c r="K28" i="13"/>
  <c r="J28" i="13"/>
  <c r="I28" i="13"/>
  <c r="H28" i="13"/>
  <c r="G28" i="13"/>
  <c r="F28" i="13"/>
  <c r="E28" i="13"/>
  <c r="D28" i="13"/>
  <c r="C28" i="13"/>
  <c r="N27" i="13"/>
  <c r="M27" i="13"/>
  <c r="L27" i="13"/>
  <c r="K27" i="13"/>
  <c r="J27" i="13"/>
  <c r="I27" i="13"/>
  <c r="H27" i="13"/>
  <c r="G27" i="13"/>
  <c r="F27" i="13"/>
  <c r="E27" i="13"/>
  <c r="D27" i="13"/>
  <c r="C27" i="13"/>
  <c r="N26" i="13"/>
  <c r="M26" i="13"/>
  <c r="L26" i="13"/>
  <c r="K26" i="13"/>
  <c r="J26" i="13"/>
  <c r="I26" i="13"/>
  <c r="H26" i="13"/>
  <c r="G26" i="13"/>
  <c r="F26" i="13"/>
  <c r="E26" i="13"/>
  <c r="D26" i="13"/>
  <c r="C26" i="13"/>
  <c r="N25" i="13"/>
  <c r="M25" i="13"/>
  <c r="L25" i="13"/>
  <c r="K25" i="13"/>
  <c r="J25" i="13"/>
  <c r="I25" i="13"/>
  <c r="H25" i="13"/>
  <c r="G25" i="13"/>
  <c r="F25" i="13"/>
  <c r="E25" i="13"/>
  <c r="D25" i="13"/>
  <c r="C25" i="13"/>
  <c r="N24" i="13"/>
  <c r="M24" i="13"/>
  <c r="L24" i="13"/>
  <c r="K24" i="13"/>
  <c r="J24" i="13"/>
  <c r="I24" i="13"/>
  <c r="H24" i="13"/>
  <c r="G24" i="13"/>
  <c r="F24" i="13"/>
  <c r="E24" i="13"/>
  <c r="D24" i="13"/>
  <c r="C24" i="13"/>
  <c r="N23" i="13"/>
  <c r="M23" i="13"/>
  <c r="L23" i="13"/>
  <c r="K23" i="13"/>
  <c r="J23" i="13"/>
  <c r="I23" i="13"/>
  <c r="H23" i="13"/>
  <c r="G23" i="13"/>
  <c r="F23" i="13"/>
  <c r="E23" i="13"/>
  <c r="D23" i="13"/>
  <c r="C23" i="13"/>
  <c r="N22" i="13"/>
  <c r="M22" i="13"/>
  <c r="L22" i="13"/>
  <c r="K22" i="13"/>
  <c r="J22" i="13"/>
  <c r="I22" i="13"/>
  <c r="H22" i="13"/>
  <c r="G22" i="13"/>
  <c r="F22" i="13"/>
  <c r="E22" i="13"/>
  <c r="D22" i="13"/>
  <c r="C22" i="13"/>
  <c r="N21" i="13"/>
  <c r="M21" i="13"/>
  <c r="L21" i="13"/>
  <c r="K21" i="13"/>
  <c r="J21" i="13"/>
  <c r="I21" i="13"/>
  <c r="H21" i="13"/>
  <c r="G21" i="13"/>
  <c r="F21" i="13"/>
  <c r="E21" i="13"/>
  <c r="D21" i="13"/>
  <c r="C21" i="13"/>
  <c r="N20" i="13"/>
  <c r="M20" i="13"/>
  <c r="L20" i="13"/>
  <c r="K20" i="13"/>
  <c r="J20" i="13"/>
  <c r="I20" i="13"/>
  <c r="H20" i="13"/>
  <c r="G20" i="13"/>
  <c r="F20" i="13"/>
  <c r="E20" i="13"/>
  <c r="D20" i="13"/>
  <c r="C20" i="13"/>
  <c r="N19" i="13"/>
  <c r="M19" i="13"/>
  <c r="L19" i="13"/>
  <c r="K19" i="13"/>
  <c r="J19" i="13"/>
  <c r="I19" i="13"/>
  <c r="H19" i="13"/>
  <c r="G19" i="13"/>
  <c r="F19" i="13"/>
  <c r="E19" i="13"/>
  <c r="D19" i="13"/>
  <c r="C19" i="13"/>
  <c r="N18" i="13"/>
  <c r="M18" i="13"/>
  <c r="L18" i="13"/>
  <c r="K18" i="13"/>
  <c r="J18" i="13"/>
  <c r="I18" i="13"/>
  <c r="H18" i="13"/>
  <c r="G18" i="13"/>
  <c r="F18" i="13"/>
  <c r="E18" i="13"/>
  <c r="D18" i="13"/>
  <c r="C18" i="13"/>
  <c r="N17" i="13"/>
  <c r="M17" i="13"/>
  <c r="L17" i="13"/>
  <c r="K17" i="13"/>
  <c r="J17" i="13"/>
  <c r="I17" i="13"/>
  <c r="H17" i="13"/>
  <c r="G17" i="13"/>
  <c r="F17" i="13"/>
  <c r="E17" i="13"/>
  <c r="D17" i="13"/>
  <c r="C17" i="13"/>
  <c r="N16" i="13"/>
  <c r="M16" i="13"/>
  <c r="L16" i="13"/>
  <c r="K16" i="13"/>
  <c r="J16" i="13"/>
  <c r="I16" i="13"/>
  <c r="H16" i="13"/>
  <c r="G16" i="13"/>
  <c r="F16" i="13"/>
  <c r="E16" i="13"/>
  <c r="D16" i="13"/>
  <c r="C16" i="13"/>
  <c r="N15" i="13"/>
  <c r="M15" i="13"/>
  <c r="L15" i="13"/>
  <c r="K15" i="13"/>
  <c r="J15" i="13"/>
  <c r="I15" i="13"/>
  <c r="H15" i="13"/>
  <c r="G15" i="13"/>
  <c r="F15" i="13"/>
  <c r="E15" i="13"/>
  <c r="D15" i="13"/>
  <c r="C15" i="13"/>
  <c r="N14" i="13"/>
  <c r="M14" i="13"/>
  <c r="L14" i="13"/>
  <c r="K14" i="13"/>
  <c r="J14" i="13"/>
  <c r="I14" i="13"/>
  <c r="H14" i="13"/>
  <c r="G14" i="13"/>
  <c r="F14" i="13"/>
  <c r="E14" i="13"/>
  <c r="D14" i="13"/>
  <c r="C14" i="13"/>
  <c r="N13" i="13"/>
  <c r="M13" i="13"/>
  <c r="L13" i="13"/>
  <c r="K13" i="13"/>
  <c r="J13" i="13"/>
  <c r="I13" i="13"/>
  <c r="H13" i="13"/>
  <c r="G13" i="13"/>
  <c r="F13" i="13"/>
  <c r="E13" i="13"/>
  <c r="D13" i="13"/>
  <c r="C13" i="13"/>
  <c r="N12" i="13"/>
  <c r="M12" i="13"/>
  <c r="L12" i="13"/>
  <c r="K12" i="13"/>
  <c r="J12" i="13"/>
  <c r="I12" i="13"/>
  <c r="H12" i="13"/>
  <c r="G12" i="13"/>
  <c r="F12" i="13"/>
  <c r="E12" i="13"/>
  <c r="D12" i="13"/>
  <c r="C12" i="13"/>
  <c r="N11" i="13"/>
  <c r="M11" i="13"/>
  <c r="L11" i="13"/>
  <c r="K11" i="13"/>
  <c r="J11" i="13"/>
  <c r="I11" i="13"/>
  <c r="H11" i="13"/>
  <c r="G11" i="13"/>
  <c r="F11" i="13"/>
  <c r="E11" i="13"/>
  <c r="D11" i="13"/>
  <c r="C11" i="13"/>
  <c r="N10" i="13"/>
  <c r="M10" i="13"/>
  <c r="L10" i="13"/>
  <c r="K10" i="13"/>
  <c r="J10" i="13"/>
  <c r="I10" i="13"/>
  <c r="H10" i="13"/>
  <c r="G10" i="13"/>
  <c r="F10" i="13"/>
  <c r="E10" i="13"/>
  <c r="D10" i="13"/>
  <c r="C10" i="13"/>
  <c r="N9" i="13"/>
  <c r="M9" i="13"/>
  <c r="L9" i="13"/>
  <c r="K9" i="13"/>
  <c r="J9" i="13"/>
  <c r="I9" i="13"/>
  <c r="H9" i="13"/>
  <c r="G9" i="13"/>
  <c r="F9" i="13"/>
  <c r="E9" i="13"/>
  <c r="D9" i="13"/>
  <c r="C9" i="13"/>
  <c r="N8" i="13"/>
  <c r="M8" i="13"/>
  <c r="L8" i="13"/>
  <c r="K8" i="13"/>
  <c r="J8" i="13"/>
  <c r="I8" i="13"/>
  <c r="H8" i="13"/>
  <c r="G8" i="13"/>
  <c r="F8" i="13"/>
  <c r="E8" i="13"/>
  <c r="D8" i="13"/>
  <c r="C8" i="13"/>
  <c r="N7" i="13"/>
  <c r="M7" i="13"/>
  <c r="L7" i="13"/>
  <c r="K7" i="13"/>
  <c r="J7" i="13"/>
  <c r="I7" i="13"/>
  <c r="H7" i="13"/>
  <c r="G7" i="13"/>
  <c r="F7" i="13"/>
  <c r="E7" i="13"/>
  <c r="D7" i="13"/>
  <c r="C7" i="13"/>
  <c r="N6" i="13"/>
  <c r="M6" i="13"/>
  <c r="L6" i="13"/>
  <c r="K6" i="13"/>
  <c r="J6" i="13"/>
  <c r="I6" i="13"/>
  <c r="H6" i="13"/>
  <c r="G6" i="13"/>
  <c r="F6" i="13"/>
  <c r="E6" i="13"/>
  <c r="D6" i="13"/>
  <c r="C6" i="13"/>
  <c r="B7" i="13"/>
  <c r="O7" i="13" s="1"/>
  <c r="B29" i="13"/>
  <c r="O29" i="13" s="1"/>
  <c r="B28" i="13"/>
  <c r="O28" i="13" s="1"/>
  <c r="B27" i="13"/>
  <c r="O27" i="13" s="1"/>
  <c r="B26" i="13"/>
  <c r="O26" i="13" s="1"/>
  <c r="B25" i="13"/>
  <c r="O25" i="13" s="1"/>
  <c r="B24" i="13"/>
  <c r="O24" i="13" s="1"/>
  <c r="B23" i="13"/>
  <c r="O23" i="13" s="1"/>
  <c r="B22" i="13"/>
  <c r="O22" i="13" s="1"/>
  <c r="B21" i="13"/>
  <c r="O21" i="13" s="1"/>
  <c r="B20" i="13"/>
  <c r="O20" i="13" s="1"/>
  <c r="B19" i="13"/>
  <c r="O19" i="13" s="1"/>
  <c r="B18" i="13"/>
  <c r="O18" i="13" s="1"/>
  <c r="B17" i="13"/>
  <c r="O17" i="13" s="1"/>
  <c r="B16" i="13"/>
  <c r="O16" i="13" s="1"/>
  <c r="B15" i="13"/>
  <c r="O15" i="13" s="1"/>
  <c r="B14" i="13"/>
  <c r="O14" i="13" s="1"/>
  <c r="B13" i="13"/>
  <c r="O13" i="13" s="1"/>
  <c r="B12" i="13"/>
  <c r="O12" i="13" s="1"/>
  <c r="B11" i="13"/>
  <c r="O11" i="13" s="1"/>
  <c r="B10" i="13"/>
  <c r="O10" i="13" s="1"/>
  <c r="B9" i="13"/>
  <c r="O9" i="13" s="1"/>
  <c r="B8" i="13"/>
  <c r="O8" i="13" s="1"/>
  <c r="A29" i="13"/>
  <c r="A28" i="13"/>
  <c r="A27" i="13"/>
  <c r="A26" i="13"/>
  <c r="A25" i="13"/>
  <c r="A24" i="13"/>
  <c r="A23" i="13"/>
  <c r="A22" i="13"/>
  <c r="A21" i="13"/>
  <c r="A20" i="13"/>
  <c r="A19" i="13"/>
  <c r="A18" i="13"/>
  <c r="A17" i="13"/>
  <c r="A16" i="13"/>
  <c r="A15" i="13"/>
  <c r="A14" i="13"/>
  <c r="A13" i="13"/>
  <c r="A12" i="13"/>
  <c r="A11" i="13"/>
  <c r="A10" i="13"/>
  <c r="A9" i="13"/>
  <c r="A8" i="13"/>
  <c r="A7" i="13"/>
  <c r="A6" i="13"/>
  <c r="A4" i="29"/>
  <c r="C4" i="29"/>
  <c r="E4" i="29"/>
  <c r="G4" i="29"/>
  <c r="D10" i="29"/>
  <c r="C11" i="29"/>
  <c r="D11" i="29"/>
  <c r="AK94" i="29" s="1"/>
  <c r="C12" i="29"/>
  <c r="AM93" i="29" s="1"/>
  <c r="D12" i="29"/>
  <c r="C13" i="29"/>
  <c r="D13" i="29"/>
  <c r="AK96" i="29" s="1"/>
  <c r="C14" i="29"/>
  <c r="D14" i="29"/>
  <c r="AK97" i="29" s="1"/>
  <c r="C15" i="29"/>
  <c r="D15" i="29"/>
  <c r="AK98" i="29" s="1"/>
  <c r="C16" i="29"/>
  <c r="D16" i="29"/>
  <c r="AK99" i="29" s="1"/>
  <c r="C17" i="29"/>
  <c r="D17" i="29"/>
  <c r="AK100" i="29" s="1"/>
  <c r="C18" i="29"/>
  <c r="D18" i="29"/>
  <c r="AK101" i="29" s="1"/>
  <c r="C19" i="29"/>
  <c r="D19" i="29"/>
  <c r="AK102" i="29" s="1"/>
  <c r="C20" i="29"/>
  <c r="D20" i="29"/>
  <c r="AB20" i="29"/>
  <c r="C21" i="29"/>
  <c r="D21" i="29"/>
  <c r="Y30" i="29"/>
  <c r="Y31" i="29"/>
  <c r="Y32" i="29"/>
  <c r="Y33" i="29"/>
  <c r="Y34" i="29"/>
  <c r="Y35" i="29"/>
  <c r="Y36" i="29"/>
  <c r="Y37" i="29"/>
  <c r="Y38" i="29"/>
  <c r="Y39" i="29"/>
  <c r="Y40" i="29"/>
  <c r="Y41" i="29"/>
  <c r="AI53" i="29"/>
  <c r="AI54" i="29"/>
  <c r="AI58" i="29"/>
  <c r="AL58" i="29"/>
  <c r="AN58" i="29" s="1"/>
  <c r="X67" i="29"/>
  <c r="Y67" i="29"/>
  <c r="Z67" i="29"/>
  <c r="AA67" i="29"/>
  <c r="AB67" i="29"/>
  <c r="AC67" i="29"/>
  <c r="AD67" i="29"/>
  <c r="AE67" i="29"/>
  <c r="AF67" i="29"/>
  <c r="AG67" i="29"/>
  <c r="AH67" i="29"/>
  <c r="AI67" i="29"/>
  <c r="AJ67" i="29"/>
  <c r="AK67" i="29"/>
  <c r="AK69" i="29" s="1"/>
  <c r="AL67" i="29"/>
  <c r="AL69" i="29" s="1"/>
  <c r="AM67" i="29"/>
  <c r="AN67" i="29"/>
  <c r="AN69" i="29" s="1"/>
  <c r="AO67" i="29"/>
  <c r="AP67" i="29"/>
  <c r="AQ67" i="29"/>
  <c r="AR67" i="29"/>
  <c r="AS67" i="29"/>
  <c r="AT67" i="29"/>
  <c r="AU67" i="29"/>
  <c r="X69" i="29"/>
  <c r="X177" i="29"/>
  <c r="Y177" i="29"/>
  <c r="Z177" i="29"/>
  <c r="AA177" i="29"/>
  <c r="AB177" i="29"/>
  <c r="AC177" i="29"/>
  <c r="AD177" i="29"/>
  <c r="AE177" i="29"/>
  <c r="AF177" i="29"/>
  <c r="AG177" i="29"/>
  <c r="AH177" i="29"/>
  <c r="AI177" i="29"/>
  <c r="AJ177" i="29"/>
  <c r="AK177" i="29"/>
  <c r="AL177" i="29"/>
  <c r="AM177" i="29"/>
  <c r="AN177" i="29"/>
  <c r="X240" i="29"/>
  <c r="Y240" i="29"/>
  <c r="Z240" i="29"/>
  <c r="AA240" i="29"/>
  <c r="AB240" i="29"/>
  <c r="AC240" i="29"/>
  <c r="AD240" i="29"/>
  <c r="AE240" i="29"/>
  <c r="AF240" i="29"/>
  <c r="AG240" i="29"/>
  <c r="AH240" i="29"/>
  <c r="C53" i="28"/>
  <c r="E68" i="28"/>
  <c r="E69" i="28"/>
  <c r="E70" i="28"/>
  <c r="D75" i="28"/>
  <c r="G111" i="28"/>
  <c r="B33" i="31" s="1"/>
  <c r="H111" i="28"/>
  <c r="C33" i="31" s="1"/>
  <c r="I111" i="28"/>
  <c r="D33" i="31" s="1"/>
  <c r="J111" i="28"/>
  <c r="E33" i="31" s="1"/>
  <c r="K111" i="28"/>
  <c r="F33" i="31" s="1"/>
  <c r="L111" i="28"/>
  <c r="G33" i="31" s="1"/>
  <c r="M111" i="28"/>
  <c r="H33" i="31" s="1"/>
  <c r="N111" i="28"/>
  <c r="I33" i="31" s="1"/>
  <c r="O111" i="28"/>
  <c r="J33" i="31" s="1"/>
  <c r="P111" i="28"/>
  <c r="K33" i="31" s="1"/>
  <c r="Q111" i="28"/>
  <c r="L33" i="31" s="1"/>
  <c r="R111" i="28"/>
  <c r="M33" i="31" s="1"/>
  <c r="AK93" i="29" l="1"/>
  <c r="AF8" i="29"/>
  <c r="AF19" i="29"/>
  <c r="AH19" i="29" s="1"/>
  <c r="AK104" i="29"/>
  <c r="AF18" i="29"/>
  <c r="AH18" i="29" s="1"/>
  <c r="AK103" i="29"/>
  <c r="AM94" i="29"/>
  <c r="AK95" i="29"/>
  <c r="X58" i="29"/>
  <c r="X61" i="29" s="1"/>
  <c r="Z61" i="29" s="1"/>
  <c r="X68" i="29" s="1"/>
  <c r="X79" i="29" s="1"/>
  <c r="X112" i="29" s="1"/>
  <c r="W181" i="29"/>
  <c r="Y186" i="29" s="1"/>
  <c r="AE31" i="29"/>
  <c r="AF9" i="29"/>
  <c r="AH9" i="29" s="1"/>
  <c r="AG24" i="29"/>
  <c r="V141" i="35"/>
  <c r="J141" i="35"/>
  <c r="K4" i="29"/>
  <c r="R87" i="31"/>
  <c r="AA245" i="29"/>
  <c r="M76" i="31"/>
  <c r="M81" i="31" s="1"/>
  <c r="K76" i="31"/>
  <c r="K81" i="31" s="1"/>
  <c r="K66" i="31"/>
  <c r="I71" i="31"/>
  <c r="AE33" i="29"/>
  <c r="X123" i="29"/>
  <c r="W123" i="29"/>
  <c r="K5" i="29"/>
  <c r="W6" i="29" s="1"/>
  <c r="AF41" i="29"/>
  <c r="D40" i="29" s="1"/>
  <c r="AF36" i="29"/>
  <c r="D35" i="29" s="1"/>
  <c r="AE41" i="29"/>
  <c r="AF31" i="29"/>
  <c r="D30" i="29" s="1"/>
  <c r="AF39" i="29"/>
  <c r="D38" i="29" s="1"/>
  <c r="AE34" i="29"/>
  <c r="AF32" i="29"/>
  <c r="D31" i="29" s="1"/>
  <c r="AF40" i="29"/>
  <c r="D39" i="29" s="1"/>
  <c r="AF35" i="29"/>
  <c r="D34" i="29" s="1"/>
  <c r="AE38" i="29"/>
  <c r="AE30" i="29"/>
  <c r="D22" i="29"/>
  <c r="AF30" i="29"/>
  <c r="D29" i="29" s="1"/>
  <c r="J143" i="35"/>
  <c r="Z141" i="35"/>
  <c r="Z143" i="35" s="1"/>
  <c r="J142" i="35"/>
  <c r="V143" i="35"/>
  <c r="V142" i="35"/>
  <c r="AF37" i="29"/>
  <c r="D36" i="29" s="1"/>
  <c r="AE37" i="29"/>
  <c r="AF33" i="29"/>
  <c r="D32" i="29" s="1"/>
  <c r="AE40" i="29"/>
  <c r="AE36" i="29"/>
  <c r="AE32" i="29"/>
  <c r="K6" i="29"/>
  <c r="AE39" i="29"/>
  <c r="AE35" i="29"/>
  <c r="AF38" i="29"/>
  <c r="D37" i="29" s="1"/>
  <c r="AF34" i="29"/>
  <c r="D33" i="29" s="1"/>
  <c r="AB68" i="29" l="1"/>
  <c r="AC68" i="29"/>
  <c r="AC85" i="29" s="1"/>
  <c r="AC118" i="29" s="1"/>
  <c r="AG68" i="29"/>
  <c r="AG78" i="29" s="1"/>
  <c r="AG111" i="29" s="1"/>
  <c r="AQ68" i="29"/>
  <c r="AQ84" i="29" s="1"/>
  <c r="AQ117" i="29" s="1"/>
  <c r="AF68" i="29"/>
  <c r="AF85" i="29" s="1"/>
  <c r="AF118" i="29" s="1"/>
  <c r="AM68" i="29"/>
  <c r="AM75" i="29" s="1"/>
  <c r="AM108" i="29" s="1"/>
  <c r="AO68" i="29"/>
  <c r="AO79" i="29" s="1"/>
  <c r="AO112" i="29" s="1"/>
  <c r="AK68" i="29"/>
  <c r="AK83" i="29" s="1"/>
  <c r="AK116" i="29" s="1"/>
  <c r="AS68" i="29"/>
  <c r="AS74" i="29" s="1"/>
  <c r="AS107" i="29" s="1"/>
  <c r="Y58" i="29"/>
  <c r="AH68" i="29"/>
  <c r="AH74" i="29" s="1"/>
  <c r="AH107" i="29" s="1"/>
  <c r="Y68" i="29"/>
  <c r="Y80" i="29" s="1"/>
  <c r="Y113" i="29" s="1"/>
  <c r="AU68" i="29"/>
  <c r="AU79" i="29" s="1"/>
  <c r="AU112" i="29" s="1"/>
  <c r="AD68" i="29"/>
  <c r="AD74" i="29" s="1"/>
  <c r="AD107" i="29" s="1"/>
  <c r="AR68" i="29"/>
  <c r="AR75" i="29" s="1"/>
  <c r="AR108" i="29" s="1"/>
  <c r="AJ68" i="29"/>
  <c r="AJ75" i="29" s="1"/>
  <c r="AJ108" i="29" s="1"/>
  <c r="AC187" i="29"/>
  <c r="AI68" i="29"/>
  <c r="AI75" i="29" s="1"/>
  <c r="AI108" i="29" s="1"/>
  <c r="AA249" i="29"/>
  <c r="X252" i="29" s="1"/>
  <c r="F36" i="29" s="1"/>
  <c r="AE68" i="29"/>
  <c r="AE78" i="29" s="1"/>
  <c r="AE111" i="29" s="1"/>
  <c r="AN68" i="29"/>
  <c r="AN82" i="29" s="1"/>
  <c r="AN115" i="29" s="1"/>
  <c r="AT68" i="29"/>
  <c r="AT80" i="29" s="1"/>
  <c r="AT113" i="29" s="1"/>
  <c r="Z68" i="29"/>
  <c r="Z77" i="29" s="1"/>
  <c r="Z110" i="29" s="1"/>
  <c r="AL68" i="29"/>
  <c r="AL83" i="29" s="1"/>
  <c r="AL116" i="29" s="1"/>
  <c r="AA68" i="29"/>
  <c r="AA74" i="29" s="1"/>
  <c r="AA107" i="29" s="1"/>
  <c r="AP68" i="29"/>
  <c r="AP74" i="29" s="1"/>
  <c r="AP107" i="29" s="1"/>
  <c r="AH8" i="29"/>
  <c r="AH20" i="29" s="1"/>
  <c r="AF17" i="29" s="1"/>
  <c r="X76" i="29"/>
  <c r="X109" i="29" s="1"/>
  <c r="AS83" i="29"/>
  <c r="AS116" i="29" s="1"/>
  <c r="AP80" i="29"/>
  <c r="AP113" i="29" s="1"/>
  <c r="AC80" i="29"/>
  <c r="AC113" i="29" s="1"/>
  <c r="X75" i="29"/>
  <c r="X108" i="29" s="1"/>
  <c r="AS78" i="29"/>
  <c r="AS111" i="29" s="1"/>
  <c r="AB194" i="29"/>
  <c r="Y190" i="29"/>
  <c r="AC188" i="29"/>
  <c r="Z191" i="29"/>
  <c r="AA195" i="29"/>
  <c r="AA196" i="29"/>
  <c r="AB186" i="29"/>
  <c r="AC196" i="29"/>
  <c r="AC195" i="29"/>
  <c r="AA189" i="29"/>
  <c r="AA191" i="29"/>
  <c r="AC197" i="29"/>
  <c r="AB191" i="29"/>
  <c r="AG191" i="29" s="1"/>
  <c r="E34" i="29" s="1"/>
  <c r="X195" i="29"/>
  <c r="X187" i="29"/>
  <c r="AC191" i="29"/>
  <c r="Y195" i="29"/>
  <c r="AA186" i="29"/>
  <c r="AC192" i="29"/>
  <c r="Y196" i="29"/>
  <c r="AP85" i="29"/>
  <c r="AP118" i="29" s="1"/>
  <c r="AP76" i="29"/>
  <c r="AP109" i="29" s="1"/>
  <c r="AS77" i="29"/>
  <c r="AS110" i="29" s="1"/>
  <c r="X85" i="29"/>
  <c r="X118" i="29" s="1"/>
  <c r="X82" i="29"/>
  <c r="X115" i="29" s="1"/>
  <c r="AB197" i="29"/>
  <c r="AB196" i="29"/>
  <c r="X191" i="29"/>
  <c r="X193" i="29"/>
  <c r="AB187" i="29"/>
  <c r="AA197" i="29"/>
  <c r="AF197" i="29" s="1"/>
  <c r="Y189" i="29"/>
  <c r="AC186" i="29"/>
  <c r="Y191" i="29"/>
  <c r="AC189" i="29"/>
  <c r="Y193" i="29"/>
  <c r="Z193" i="29"/>
  <c r="Y187" i="29"/>
  <c r="AA193" i="29"/>
  <c r="Y188" i="29"/>
  <c r="AA194" i="29"/>
  <c r="AB189" i="29"/>
  <c r="AG189" i="29" s="1"/>
  <c r="E32" i="29" s="1"/>
  <c r="AC194" i="29"/>
  <c r="AA187" i="29"/>
  <c r="Z197" i="29"/>
  <c r="AC193" i="29"/>
  <c r="AB195" i="29"/>
  <c r="AG195" i="29" s="1"/>
  <c r="E38" i="29" s="1"/>
  <c r="Y192" i="29"/>
  <c r="AB188" i="29"/>
  <c r="X192" i="29"/>
  <c r="AB190" i="29"/>
  <c r="AG190" i="29" s="1"/>
  <c r="E33" i="29" s="1"/>
  <c r="X194" i="29"/>
  <c r="AC190" i="29"/>
  <c r="AH190" i="29" s="1"/>
  <c r="Y194" i="29"/>
  <c r="X188" i="29"/>
  <c r="Z194" i="29"/>
  <c r="X189" i="29"/>
  <c r="Z195" i="29"/>
  <c r="AP77" i="29"/>
  <c r="AP110" i="29" s="1"/>
  <c r="AS81" i="29"/>
  <c r="AS114" i="29" s="1"/>
  <c r="AS85" i="29"/>
  <c r="AS118" i="29" s="1"/>
  <c r="X84" i="29"/>
  <c r="X117" i="29" s="1"/>
  <c r="X74" i="29"/>
  <c r="X107" i="29" s="1"/>
  <c r="Z190" i="29"/>
  <c r="X186" i="29"/>
  <c r="Z192" i="29"/>
  <c r="AA192" i="29"/>
  <c r="AF192" i="29" s="1"/>
  <c r="Z186" i="29"/>
  <c r="AB192" i="29"/>
  <c r="AG192" i="29" s="1"/>
  <c r="E35" i="29" s="1"/>
  <c r="X196" i="29"/>
  <c r="Z187" i="29"/>
  <c r="AB193" i="29"/>
  <c r="X197" i="29"/>
  <c r="AP84" i="29"/>
  <c r="AP117" i="29" s="1"/>
  <c r="AS80" i="29"/>
  <c r="AS113" i="29" s="1"/>
  <c r="X83" i="29"/>
  <c r="X116" i="29" s="1"/>
  <c r="X78" i="29"/>
  <c r="X111" i="29" s="1"/>
  <c r="Z188" i="29"/>
  <c r="AA188" i="29"/>
  <c r="Y197" i="29"/>
  <c r="Z196" i="29"/>
  <c r="X190" i="29"/>
  <c r="AA190" i="29"/>
  <c r="Z189" i="29"/>
  <c r="AI84" i="29"/>
  <c r="AI117" i="29" s="1"/>
  <c r="AP81" i="29"/>
  <c r="AP114" i="29" s="1"/>
  <c r="AI76" i="29"/>
  <c r="AI109" i="29" s="1"/>
  <c r="AP83" i="29"/>
  <c r="AP116" i="29" s="1"/>
  <c r="AP79" i="29"/>
  <c r="AP112" i="29" s="1"/>
  <c r="AP75" i="29"/>
  <c r="AP108" i="29" s="1"/>
  <c r="AS79" i="29"/>
  <c r="AS112" i="29" s="1"/>
  <c r="AS84" i="29"/>
  <c r="AS117" i="29" s="1"/>
  <c r="AS76" i="29"/>
  <c r="AS109" i="29" s="1"/>
  <c r="AP82" i="29"/>
  <c r="AP115" i="29" s="1"/>
  <c r="AP78" i="29"/>
  <c r="AP111" i="29" s="1"/>
  <c r="AS75" i="29"/>
  <c r="AS108" i="29" s="1"/>
  <c r="AS82" i="29"/>
  <c r="AS115" i="29" s="1"/>
  <c r="X77" i="29"/>
  <c r="X110" i="29" s="1"/>
  <c r="X80" i="29"/>
  <c r="X113" i="29" s="1"/>
  <c r="AH85" i="29"/>
  <c r="AH118" i="29" s="1"/>
  <c r="AH81" i="29"/>
  <c r="AH114" i="29" s="1"/>
  <c r="AH77" i="29"/>
  <c r="AH110" i="29" s="1"/>
  <c r="AC79" i="29"/>
  <c r="AC112" i="29" s="1"/>
  <c r="AH84" i="29"/>
  <c r="AH117" i="29" s="1"/>
  <c r="AH76" i="29"/>
  <c r="AH109" i="29" s="1"/>
  <c r="AC81" i="29"/>
  <c r="AC114" i="29" s="1"/>
  <c r="AC75" i="29"/>
  <c r="AC108" i="29" s="1"/>
  <c r="AC78" i="29"/>
  <c r="AC111" i="29" s="1"/>
  <c r="AH83" i="29"/>
  <c r="AH116" i="29" s="1"/>
  <c r="AH79" i="29"/>
  <c r="AH112" i="29" s="1"/>
  <c r="AH75" i="29"/>
  <c r="AH108" i="29" s="1"/>
  <c r="AC77" i="29"/>
  <c r="AC110" i="29" s="1"/>
  <c r="AC84" i="29"/>
  <c r="AC117" i="29" s="1"/>
  <c r="AC76" i="29"/>
  <c r="AC109" i="29" s="1"/>
  <c r="AH82" i="29"/>
  <c r="AH115" i="29" s="1"/>
  <c r="AH78" i="29"/>
  <c r="AH111" i="29" s="1"/>
  <c r="AC83" i="29"/>
  <c r="AC116" i="29" s="1"/>
  <c r="AC82" i="29"/>
  <c r="AC115" i="29" s="1"/>
  <c r="AC74" i="29"/>
  <c r="AC107" i="29" s="1"/>
  <c r="AI81" i="29"/>
  <c r="AI114" i="29" s="1"/>
  <c r="X81" i="29"/>
  <c r="X114" i="29" s="1"/>
  <c r="AI82" i="29"/>
  <c r="AI115" i="29" s="1"/>
  <c r="AI74" i="29"/>
  <c r="AI107" i="29" s="1"/>
  <c r="AI79" i="29"/>
  <c r="AI112" i="29" s="1"/>
  <c r="AI80" i="29"/>
  <c r="AI113" i="29" s="1"/>
  <c r="AI85" i="29"/>
  <c r="AI118" i="29" s="1"/>
  <c r="AI77" i="29"/>
  <c r="AI110" i="29" s="1"/>
  <c r="AI78" i="29"/>
  <c r="AI111" i="29" s="1"/>
  <c r="AI83" i="29"/>
  <c r="AI116" i="29" s="1"/>
  <c r="D41" i="29"/>
  <c r="AE42" i="29"/>
  <c r="AF42" i="29"/>
  <c r="Z142" i="35"/>
  <c r="AR74" i="29"/>
  <c r="AR107" i="29" s="1"/>
  <c r="AU77" i="29"/>
  <c r="AU110" i="29" s="1"/>
  <c r="AU78" i="29"/>
  <c r="AU111" i="29" s="1"/>
  <c r="AU83" i="29"/>
  <c r="AU116" i="29" s="1"/>
  <c r="AU85" i="29"/>
  <c r="AU118" i="29" s="1"/>
  <c r="AB74" i="29"/>
  <c r="AB107" i="29" s="1"/>
  <c r="AB75" i="29"/>
  <c r="AB108" i="29" s="1"/>
  <c r="AB76" i="29"/>
  <c r="AB109" i="29" s="1"/>
  <c r="AB77" i="29"/>
  <c r="AB110" i="29" s="1"/>
  <c r="AB78" i="29"/>
  <c r="AB111" i="29" s="1"/>
  <c r="AB79" i="29"/>
  <c r="AB112" i="29" s="1"/>
  <c r="AB80" i="29"/>
  <c r="AB113" i="29" s="1"/>
  <c r="AB81" i="29"/>
  <c r="AB114" i="29" s="1"/>
  <c r="AB82" i="29"/>
  <c r="AB115" i="29" s="1"/>
  <c r="AB83" i="29"/>
  <c r="AB116" i="29" s="1"/>
  <c r="AB84" i="29"/>
  <c r="AB117" i="29" s="1"/>
  <c r="AB85" i="29"/>
  <c r="AB118" i="29" s="1"/>
  <c r="AF77" i="29"/>
  <c r="AF110" i="29" s="1"/>
  <c r="AF79" i="29"/>
  <c r="AF112" i="29" s="1"/>
  <c r="AF81" i="29"/>
  <c r="AF114" i="29" s="1"/>
  <c r="AG74" i="29"/>
  <c r="AG107" i="29" s="1"/>
  <c r="AG75" i="29"/>
  <c r="AG108" i="29" s="1"/>
  <c r="AG76" i="29"/>
  <c r="AG109" i="29" s="1"/>
  <c r="AG77" i="29"/>
  <c r="AG110" i="29" s="1"/>
  <c r="AG79" i="29"/>
  <c r="AG112" i="29" s="1"/>
  <c r="AG80" i="29"/>
  <c r="AG113" i="29" s="1"/>
  <c r="AG81" i="29"/>
  <c r="AG114" i="29" s="1"/>
  <c r="AG82" i="29"/>
  <c r="AG115" i="29" s="1"/>
  <c r="AG83" i="29"/>
  <c r="AG116" i="29" s="1"/>
  <c r="AG84" i="29"/>
  <c r="AG117" i="29" s="1"/>
  <c r="AG85" i="29"/>
  <c r="AG118" i="29" s="1"/>
  <c r="AE83" i="29"/>
  <c r="AE116" i="29" s="1"/>
  <c r="AE84" i="29"/>
  <c r="AE117" i="29" s="1"/>
  <c r="AN79" i="29"/>
  <c r="AN112" i="29" s="1"/>
  <c r="AN81" i="29"/>
  <c r="AN114" i="29" s="1"/>
  <c r="AN83" i="29"/>
  <c r="AN116" i="29" s="1"/>
  <c r="AA77" i="29"/>
  <c r="AA110" i="29" s="1"/>
  <c r="AQ78" i="29"/>
  <c r="AQ111" i="29" s="1"/>
  <c r="AQ80" i="29"/>
  <c r="AQ113" i="29" s="1"/>
  <c r="AQ81" i="29"/>
  <c r="AQ114" i="29" s="1"/>
  <c r="AT83" i="29"/>
  <c r="AT116" i="29" s="1"/>
  <c r="Y77" i="29"/>
  <c r="Y110" i="29" s="1"/>
  <c r="Y84" i="29"/>
  <c r="Y117" i="29" s="1"/>
  <c r="AF187" i="29" l="1"/>
  <c r="AF195" i="29"/>
  <c r="AF190" i="29"/>
  <c r="AH194" i="29"/>
  <c r="AH192" i="29"/>
  <c r="AF188" i="29"/>
  <c r="AF193" i="29"/>
  <c r="AH193" i="29"/>
  <c r="AG187" i="29"/>
  <c r="E30" i="29" s="1"/>
  <c r="AF196" i="29"/>
  <c r="AH197" i="29"/>
  <c r="AF191" i="29"/>
  <c r="AH188" i="29"/>
  <c r="AG196" i="29"/>
  <c r="E39" i="29" s="1"/>
  <c r="AG197" i="29"/>
  <c r="E40" i="29" s="1"/>
  <c r="AF186" i="29"/>
  <c r="AF189" i="29"/>
  <c r="AH189" i="29"/>
  <c r="AF194" i="29"/>
  <c r="AH186" i="29"/>
  <c r="AH195" i="29"/>
  <c r="AG194" i="29"/>
  <c r="E37" i="29" s="1"/>
  <c r="AG193" i="29"/>
  <c r="E36" i="29" s="1"/>
  <c r="AH191" i="29"/>
  <c r="AH196" i="29"/>
  <c r="AH187" i="29"/>
  <c r="AU76" i="29"/>
  <c r="AU109" i="29" s="1"/>
  <c r="Y83" i="29"/>
  <c r="Y116" i="29" s="1"/>
  <c r="AQ76" i="29"/>
  <c r="AQ109" i="29" s="1"/>
  <c r="AE82" i="29"/>
  <c r="AE115" i="29" s="1"/>
  <c r="AU75" i="29"/>
  <c r="AU108" i="29" s="1"/>
  <c r="Y81" i="29"/>
  <c r="Y114" i="29" s="1"/>
  <c r="AQ74" i="29"/>
  <c r="AQ107" i="29" s="1"/>
  <c r="AE76" i="29"/>
  <c r="AE109" i="29" s="1"/>
  <c r="AF80" i="29"/>
  <c r="AF113" i="29" s="1"/>
  <c r="AD83" i="29"/>
  <c r="AD116" i="29" s="1"/>
  <c r="AH80" i="29"/>
  <c r="AH113" i="29" s="1"/>
  <c r="AM81" i="29"/>
  <c r="AM114" i="29" s="1"/>
  <c r="AF84" i="29"/>
  <c r="AF117" i="29" s="1"/>
  <c r="AF82" i="29"/>
  <c r="AF115" i="29" s="1"/>
  <c r="Y79" i="29"/>
  <c r="Y112" i="29" s="1"/>
  <c r="AF83" i="29"/>
  <c r="AF116" i="29" s="1"/>
  <c r="AU84" i="29"/>
  <c r="AU117" i="29" s="1"/>
  <c r="AD77" i="29"/>
  <c r="AD110" i="29" s="1"/>
  <c r="Y78" i="29"/>
  <c r="Y111" i="29" s="1"/>
  <c r="AQ83" i="29"/>
  <c r="AQ116" i="29" s="1"/>
  <c r="AE77" i="29"/>
  <c r="AE110" i="29" s="1"/>
  <c r="AM82" i="29"/>
  <c r="AM115" i="29" s="1"/>
  <c r="AD85" i="29"/>
  <c r="AD118" i="29" s="1"/>
  <c r="AL81" i="29"/>
  <c r="AL114" i="29" s="1"/>
  <c r="Y76" i="29"/>
  <c r="Y109" i="29" s="1"/>
  <c r="AQ79" i="29"/>
  <c r="AQ112" i="29" s="1"/>
  <c r="AE75" i="29"/>
  <c r="AE108" i="29" s="1"/>
  <c r="AM80" i="29"/>
  <c r="AM113" i="29" s="1"/>
  <c r="AO78" i="29"/>
  <c r="AO111" i="29" s="1"/>
  <c r="AJ74" i="29"/>
  <c r="AJ107" i="29" s="1"/>
  <c r="Y85" i="29"/>
  <c r="Y118" i="29" s="1"/>
  <c r="Y75" i="29"/>
  <c r="Y108" i="29" s="1"/>
  <c r="AQ82" i="29"/>
  <c r="AQ115" i="29" s="1"/>
  <c r="AE74" i="29"/>
  <c r="AE107" i="29" s="1"/>
  <c r="AM74" i="29"/>
  <c r="AM107" i="29" s="1"/>
  <c r="AO77" i="29"/>
  <c r="AO110" i="29" s="1"/>
  <c r="AJ82" i="29"/>
  <c r="AJ115" i="29" s="1"/>
  <c r="AO85" i="29"/>
  <c r="AO118" i="29" s="1"/>
  <c r="AT79" i="29"/>
  <c r="AT112" i="29" s="1"/>
  <c r="AE85" i="29"/>
  <c r="AE118" i="29" s="1"/>
  <c r="AR82" i="29"/>
  <c r="AR115" i="29" s="1"/>
  <c r="AL79" i="29"/>
  <c r="AL112" i="29" s="1"/>
  <c r="AJ81" i="29"/>
  <c r="AJ114" i="29" s="1"/>
  <c r="AK82" i="29"/>
  <c r="AK115" i="29" s="1"/>
  <c r="AJ80" i="29"/>
  <c r="AJ113" i="29" s="1"/>
  <c r="AK81" i="29"/>
  <c r="AK114" i="29" s="1"/>
  <c r="X134" i="29" s="1"/>
  <c r="G36" i="29" s="1"/>
  <c r="AJ78" i="29"/>
  <c r="AJ111" i="29" s="1"/>
  <c r="AJ85" i="29"/>
  <c r="AJ118" i="29" s="1"/>
  <c r="AL76" i="29"/>
  <c r="AL109" i="29" s="1"/>
  <c r="AJ76" i="29"/>
  <c r="AJ109" i="29" s="1"/>
  <c r="AJ79" i="29"/>
  <c r="AJ112" i="29" s="1"/>
  <c r="AJ77" i="29"/>
  <c r="AJ110" i="29" s="1"/>
  <c r="AJ84" i="29"/>
  <c r="AJ117" i="29" s="1"/>
  <c r="AL80" i="29"/>
  <c r="AL113" i="29" s="1"/>
  <c r="AJ83" i="29"/>
  <c r="AJ116" i="29" s="1"/>
  <c r="AK78" i="29"/>
  <c r="AK111" i="29" s="1"/>
  <c r="X131" i="29" s="1"/>
  <c r="G33" i="29" s="1"/>
  <c r="Z76" i="29"/>
  <c r="Z109" i="29" s="1"/>
  <c r="Z79" i="29"/>
  <c r="Z112" i="29" s="1"/>
  <c r="AK75" i="29"/>
  <c r="AK108" i="29" s="1"/>
  <c r="AD82" i="29"/>
  <c r="AD115" i="29" s="1"/>
  <c r="AO83" i="29"/>
  <c r="AO116" i="29" s="1"/>
  <c r="AR79" i="29"/>
  <c r="AR112" i="29" s="1"/>
  <c r="Z80" i="29"/>
  <c r="Z113" i="29" s="1"/>
  <c r="AM69" i="29"/>
  <c r="AF78" i="29"/>
  <c r="AF111" i="29" s="1"/>
  <c r="AU82" i="29"/>
  <c r="AU115" i="29" s="1"/>
  <c r="AD80" i="29"/>
  <c r="AD113" i="29" s="1"/>
  <c r="Y82" i="29"/>
  <c r="Y115" i="29" s="1"/>
  <c r="Y74" i="29"/>
  <c r="Y107" i="29" s="1"/>
  <c r="AT85" i="29"/>
  <c r="AT118" i="29" s="1"/>
  <c r="AQ77" i="29"/>
  <c r="AQ110" i="29" s="1"/>
  <c r="AQ85" i="29"/>
  <c r="AQ118" i="29" s="1"/>
  <c r="AN78" i="29"/>
  <c r="AN111" i="29" s="1"/>
  <c r="AE80" i="29"/>
  <c r="AE113" i="29" s="1"/>
  <c r="AK76" i="29"/>
  <c r="AK109" i="29" s="1"/>
  <c r="X129" i="29" s="1"/>
  <c r="G31" i="29" s="1"/>
  <c r="AM85" i="29"/>
  <c r="AM118" i="29" s="1"/>
  <c r="AM77" i="29"/>
  <c r="AM110" i="29" s="1"/>
  <c r="AF76" i="29"/>
  <c r="AF109" i="29" s="1"/>
  <c r="AU81" i="29"/>
  <c r="AU114" i="29" s="1"/>
  <c r="AD81" i="29"/>
  <c r="AD114" i="29" s="1"/>
  <c r="AD78" i="29"/>
  <c r="AD111" i="29" s="1"/>
  <c r="AO81" i="29"/>
  <c r="AO114" i="29" s="1"/>
  <c r="AR85" i="29"/>
  <c r="AR118" i="29" s="1"/>
  <c r="AR77" i="29"/>
  <c r="AR110" i="29" s="1"/>
  <c r="AR81" i="29"/>
  <c r="AR114" i="29" s="1"/>
  <c r="AK84" i="29"/>
  <c r="AK117" i="29" s="1"/>
  <c r="AT74" i="29"/>
  <c r="AT107" i="29" s="1"/>
  <c r="AN80" i="29"/>
  <c r="AN113" i="29" s="1"/>
  <c r="AE81" i="29"/>
  <c r="AE114" i="29" s="1"/>
  <c r="AU74" i="29"/>
  <c r="AU107" i="29" s="1"/>
  <c r="AO74" i="29"/>
  <c r="AO107" i="29" s="1"/>
  <c r="AR78" i="29"/>
  <c r="AR111" i="29" s="1"/>
  <c r="AT81" i="29"/>
  <c r="AT114" i="29" s="1"/>
  <c r="AQ75" i="29"/>
  <c r="AQ108" i="29" s="1"/>
  <c r="AN76" i="29"/>
  <c r="AN109" i="29" s="1"/>
  <c r="AE79" i="29"/>
  <c r="AE112" i="29" s="1"/>
  <c r="AK85" i="29"/>
  <c r="AK118" i="29" s="1"/>
  <c r="AM84" i="29"/>
  <c r="AM117" i="29" s="1"/>
  <c r="AM76" i="29"/>
  <c r="AM109" i="29" s="1"/>
  <c r="AF74" i="29"/>
  <c r="AF107" i="29" s="1"/>
  <c r="AU80" i="29"/>
  <c r="AU113" i="29" s="1"/>
  <c r="AD75" i="29"/>
  <c r="AD108" i="29" s="1"/>
  <c r="AD76" i="29"/>
  <c r="AD109" i="29" s="1"/>
  <c r="AO80" i="29"/>
  <c r="AO113" i="29" s="1"/>
  <c r="AR84" i="29"/>
  <c r="AR117" i="29" s="1"/>
  <c r="AR76" i="29"/>
  <c r="AR109" i="29" s="1"/>
  <c r="AK79" i="29"/>
  <c r="AK112" i="29" s="1"/>
  <c r="X132" i="29" s="1"/>
  <c r="G34" i="29" s="1"/>
  <c r="Z78" i="29"/>
  <c r="Z111" i="29" s="1"/>
  <c r="AT78" i="29"/>
  <c r="AT111" i="29" s="1"/>
  <c r="AK74" i="29"/>
  <c r="AK107" i="29" s="1"/>
  <c r="X127" i="29" s="1"/>
  <c r="G29" i="29" s="1"/>
  <c r="AK77" i="29"/>
  <c r="AK110" i="29" s="1"/>
  <c r="AD84" i="29"/>
  <c r="AD117" i="29" s="1"/>
  <c r="AO84" i="29"/>
  <c r="AO117" i="29" s="1"/>
  <c r="AO76" i="29"/>
  <c r="AO109" i="29" s="1"/>
  <c r="AR80" i="29"/>
  <c r="AR113" i="29" s="1"/>
  <c r="Z75" i="29"/>
  <c r="Z108" i="29" s="1"/>
  <c r="Z82" i="29"/>
  <c r="Z115" i="29" s="1"/>
  <c r="Z83" i="29"/>
  <c r="Z116" i="29" s="1"/>
  <c r="AT76" i="29"/>
  <c r="AT109" i="29" s="1"/>
  <c r="AN77" i="29"/>
  <c r="AN110" i="29" s="1"/>
  <c r="AM79" i="29"/>
  <c r="AM112" i="29" s="1"/>
  <c r="AO75" i="29"/>
  <c r="AO108" i="29" s="1"/>
  <c r="AK80" i="29"/>
  <c r="AK113" i="29" s="1"/>
  <c r="X133" i="29" s="1"/>
  <c r="G35" i="29" s="1"/>
  <c r="AM78" i="29"/>
  <c r="AM111" i="29" s="1"/>
  <c r="AF75" i="29"/>
  <c r="AF108" i="29" s="1"/>
  <c r="AO82" i="29"/>
  <c r="AO115" i="29" s="1"/>
  <c r="AT75" i="29"/>
  <c r="AT108" i="29" s="1"/>
  <c r="AN85" i="29"/>
  <c r="AN118" i="29" s="1"/>
  <c r="AN74" i="29"/>
  <c r="AN107" i="29" s="1"/>
  <c r="AM83" i="29"/>
  <c r="AM116" i="29" s="1"/>
  <c r="AD79" i="29"/>
  <c r="AD112" i="29" s="1"/>
  <c r="AR83" i="29"/>
  <c r="AR116" i="29" s="1"/>
  <c r="AA75" i="29"/>
  <c r="AA108" i="29" s="1"/>
  <c r="AL74" i="29"/>
  <c r="AL107" i="29" s="1"/>
  <c r="AL77" i="29"/>
  <c r="AL110" i="29" s="1"/>
  <c r="X130" i="29" s="1"/>
  <c r="G32" i="29" s="1"/>
  <c r="AA84" i="29"/>
  <c r="AA117" i="29" s="1"/>
  <c r="AL84" i="29"/>
  <c r="AL117" i="29" s="1"/>
  <c r="AL75" i="29"/>
  <c r="AL108" i="29" s="1"/>
  <c r="AA82" i="29"/>
  <c r="AA115" i="29" s="1"/>
  <c r="Z81" i="29"/>
  <c r="Z114" i="29" s="1"/>
  <c r="Z84" i="29"/>
  <c r="Z117" i="29" s="1"/>
  <c r="AL78" i="29"/>
  <c r="AL111" i="29" s="1"/>
  <c r="AT77" i="29"/>
  <c r="AT110" i="29" s="1"/>
  <c r="AA85" i="29"/>
  <c r="AA118" i="29" s="1"/>
  <c r="AA80" i="29"/>
  <c r="AA113" i="29" s="1"/>
  <c r="Z85" i="29"/>
  <c r="Z118" i="29" s="1"/>
  <c r="AL82" i="29"/>
  <c r="AL115" i="29" s="1"/>
  <c r="AT84" i="29"/>
  <c r="AT117" i="29" s="1"/>
  <c r="AA83" i="29"/>
  <c r="AA116" i="29" s="1"/>
  <c r="AA78" i="29"/>
  <c r="AA111" i="29" s="1"/>
  <c r="AN75" i="29"/>
  <c r="AN108" i="29" s="1"/>
  <c r="AL85" i="29"/>
  <c r="AL118" i="29" s="1"/>
  <c r="AT82" i="29"/>
  <c r="AT115" i="29" s="1"/>
  <c r="AA81" i="29"/>
  <c r="AA114" i="29" s="1"/>
  <c r="AA76" i="29"/>
  <c r="AA109" i="29" s="1"/>
  <c r="AN84" i="29"/>
  <c r="AN117" i="29" s="1"/>
  <c r="AA79" i="29"/>
  <c r="AA112" i="29" s="1"/>
  <c r="Z74" i="29"/>
  <c r="Z107" i="29" s="1"/>
  <c r="AG186" i="29"/>
  <c r="E29" i="29" s="1"/>
  <c r="AG188" i="29"/>
  <c r="E31" i="29" s="1"/>
  <c r="X249" i="29"/>
  <c r="F33" i="29" s="1"/>
  <c r="X245" i="29"/>
  <c r="F29" i="29" s="1"/>
  <c r="X246" i="29"/>
  <c r="F30" i="29" s="1"/>
  <c r="X247" i="29"/>
  <c r="F31" i="29" s="1"/>
  <c r="X253" i="29"/>
  <c r="F37" i="29" s="1"/>
  <c r="X248" i="29"/>
  <c r="F32" i="29" s="1"/>
  <c r="X256" i="29"/>
  <c r="F40" i="29" s="1"/>
  <c r="X250" i="29"/>
  <c r="F34" i="29" s="1"/>
  <c r="AF15" i="29"/>
  <c r="AF16" i="29"/>
  <c r="AF13" i="29"/>
  <c r="X198" i="29"/>
  <c r="AF10" i="29"/>
  <c r="AF11" i="29"/>
  <c r="X251" i="29"/>
  <c r="F35" i="29" s="1"/>
  <c r="AF14" i="29"/>
  <c r="X254" i="29"/>
  <c r="F38" i="29" s="1"/>
  <c r="X255" i="29"/>
  <c r="F39" i="29" s="1"/>
  <c r="AF12" i="29"/>
  <c r="Y198" i="29"/>
  <c r="AP119" i="29"/>
  <c r="AC198" i="29"/>
  <c r="AA198" i="29"/>
  <c r="AB198" i="29"/>
  <c r="Z198" i="29"/>
  <c r="AH198" i="29"/>
  <c r="AS119" i="29"/>
  <c r="AF198" i="29"/>
  <c r="X119" i="29"/>
  <c r="AH119" i="29"/>
  <c r="AC119" i="29"/>
  <c r="X136" i="29"/>
  <c r="G38" i="29" s="1"/>
  <c r="AI119" i="29"/>
  <c r="AG119" i="29"/>
  <c r="AB119" i="29"/>
  <c r="X128" i="29" l="1"/>
  <c r="G30" i="29" s="1"/>
  <c r="AJ119" i="29"/>
  <c r="X135" i="29"/>
  <c r="G37" i="29" s="1"/>
  <c r="Y119" i="29"/>
  <c r="AE119" i="29"/>
  <c r="AU119" i="29"/>
  <c r="AQ119" i="29"/>
  <c r="AM95" i="29"/>
  <c r="AM97" i="29" s="1"/>
  <c r="AO119" i="29"/>
  <c r="AD119" i="29"/>
  <c r="AR119" i="29"/>
  <c r="AM119" i="29"/>
  <c r="AF119" i="29"/>
  <c r="AK119" i="29"/>
  <c r="X137" i="29"/>
  <c r="G39" i="29" s="1"/>
  <c r="X138" i="29"/>
  <c r="G40" i="29" s="1"/>
  <c r="AN119" i="29"/>
  <c r="AT119" i="29"/>
  <c r="Z119" i="29"/>
  <c r="AA119" i="29"/>
  <c r="AL119" i="29"/>
  <c r="E41" i="29"/>
  <c r="AG198" i="29"/>
  <c r="AF20" i="29"/>
  <c r="AL15" i="29" s="1"/>
  <c r="F41" i="29"/>
  <c r="G41" i="29" l="1"/>
  <c r="X139" i="29"/>
  <c r="AL19" i="29"/>
  <c r="AL16" i="29"/>
  <c r="AL12" i="29"/>
  <c r="AP12" i="29" s="1"/>
  <c r="AS12" i="29" s="1"/>
  <c r="C33" i="29" s="1"/>
  <c r="H33" i="29" s="1"/>
  <c r="AL17" i="29"/>
  <c r="AP17" i="29" s="1"/>
  <c r="AS17" i="29" s="1"/>
  <c r="C38" i="29" s="1"/>
  <c r="H38" i="29" s="1"/>
  <c r="AL14" i="29"/>
  <c r="AP15" i="29" s="1"/>
  <c r="AS15" i="29" s="1"/>
  <c r="C36" i="29" s="1"/>
  <c r="H36" i="29" s="1"/>
  <c r="AL10" i="29"/>
  <c r="AL18" i="29"/>
  <c r="AL9" i="29"/>
  <c r="AL11" i="29"/>
  <c r="AL8" i="29"/>
  <c r="AL13" i="29"/>
  <c r="AP16" i="29"/>
  <c r="AS16" i="29" s="1"/>
  <c r="C37" i="29" s="1"/>
  <c r="H37" i="29" s="1"/>
  <c r="AP19" i="29" l="1"/>
  <c r="AS19" i="29" s="1"/>
  <c r="C40" i="29" s="1"/>
  <c r="H40" i="29" s="1"/>
  <c r="AP18" i="29"/>
  <c r="AS18" i="29" s="1"/>
  <c r="C39" i="29" s="1"/>
  <c r="H39" i="29" s="1"/>
  <c r="AP10" i="29"/>
  <c r="AS10" i="29" s="1"/>
  <c r="C31" i="29" s="1"/>
  <c r="H31" i="29" s="1"/>
  <c r="AL20" i="29"/>
  <c r="AP9" i="29"/>
  <c r="AS9" i="29" s="1"/>
  <c r="C30" i="29" s="1"/>
  <c r="H30" i="29" s="1"/>
  <c r="AP11" i="29"/>
  <c r="AS11" i="29" s="1"/>
  <c r="C32" i="29" s="1"/>
  <c r="H32" i="29" s="1"/>
  <c r="AP14" i="29"/>
  <c r="AS14" i="29" s="1"/>
  <c r="C35" i="29" s="1"/>
  <c r="H35" i="29" s="1"/>
  <c r="AP8" i="29"/>
  <c r="AS8" i="29" s="1"/>
  <c r="AP13" i="29"/>
  <c r="AS13" i="29" s="1"/>
  <c r="C34" i="29" s="1"/>
  <c r="H34" i="29" s="1"/>
  <c r="F70" i="28"/>
  <c r="F69" i="28"/>
  <c r="F68" i="28"/>
  <c r="AP20" i="29" l="1"/>
  <c r="C29" i="29"/>
  <c r="AS20" i="29"/>
  <c r="I53" i="28"/>
  <c r="H29" i="29" l="1"/>
  <c r="H41" i="29" s="1"/>
  <c r="I40" i="29" s="1"/>
  <c r="C41" i="29"/>
  <c r="L53" i="28"/>
  <c r="H53" i="28"/>
  <c r="K53" i="28"/>
  <c r="O53" i="28"/>
  <c r="M53" i="28"/>
  <c r="N53" i="28"/>
  <c r="J53" i="28"/>
  <c r="D53" i="28" l="1"/>
  <c r="I29" i="29"/>
  <c r="E75" i="28" s="1"/>
  <c r="I34" i="29"/>
  <c r="J75" i="28" s="1"/>
  <c r="I38" i="29"/>
  <c r="N75" i="28" s="1"/>
  <c r="I39" i="29"/>
  <c r="O75" i="28" s="1"/>
  <c r="I32" i="29"/>
  <c r="H75" i="28" s="1"/>
  <c r="P75" i="28"/>
  <c r="I33" i="29"/>
  <c r="I75" i="28" s="1"/>
  <c r="I31" i="29"/>
  <c r="G75" i="28" s="1"/>
  <c r="I35" i="29"/>
  <c r="K75" i="28" s="1"/>
  <c r="I36" i="29"/>
  <c r="L75" i="28" s="1"/>
  <c r="I30" i="29"/>
  <c r="F75" i="28" s="1"/>
  <c r="I37" i="29"/>
  <c r="M75" i="28" s="1"/>
  <c r="G53" i="28"/>
  <c r="F53" i="28"/>
  <c r="E53" i="28"/>
  <c r="Q75" i="28" l="1"/>
  <c r="I41" i="29"/>
  <c r="P53" i="28"/>
  <c r="X58" i="1"/>
  <c r="W58" i="1"/>
  <c r="V58" i="1"/>
  <c r="U58" i="1"/>
  <c r="T58" i="1"/>
  <c r="S58" i="1"/>
  <c r="R58" i="1"/>
  <c r="Q58" i="1"/>
  <c r="O58" i="1"/>
  <c r="P58" i="1"/>
  <c r="N58" i="1"/>
  <c r="M149" i="1" l="1"/>
  <c r="M147" i="1"/>
  <c r="M145" i="1"/>
  <c r="M143" i="1"/>
  <c r="M141" i="1"/>
  <c r="M139" i="1"/>
  <c r="M137" i="1"/>
  <c r="M135" i="1"/>
  <c r="M133" i="1"/>
  <c r="M131" i="1"/>
  <c r="M129" i="1"/>
  <c r="M127" i="1"/>
  <c r="M125" i="1"/>
  <c r="M123" i="1"/>
  <c r="K149" i="1"/>
  <c r="K147" i="1"/>
  <c r="K145" i="1"/>
  <c r="K143" i="1"/>
  <c r="K141" i="1"/>
  <c r="K139" i="1"/>
  <c r="K137" i="1"/>
  <c r="K135" i="1"/>
  <c r="K133" i="1"/>
  <c r="K131" i="1"/>
  <c r="K129" i="1"/>
  <c r="K127" i="1"/>
  <c r="K125" i="1"/>
  <c r="K123" i="1"/>
  <c r="J149" i="1"/>
  <c r="J147" i="1"/>
  <c r="J145" i="1"/>
  <c r="J143" i="1"/>
  <c r="J141" i="1"/>
  <c r="J139" i="1"/>
  <c r="J137" i="1"/>
  <c r="J135" i="1"/>
  <c r="J133" i="1"/>
  <c r="J131" i="1"/>
  <c r="J129" i="1"/>
  <c r="J127" i="1"/>
  <c r="J125" i="1"/>
  <c r="J123" i="1"/>
  <c r="C8" i="8" l="1"/>
  <c r="J121" i="1" l="1"/>
  <c r="K121" i="1" s="1"/>
  <c r="J115" i="1"/>
  <c r="K115" i="1" s="1"/>
  <c r="J119" i="1"/>
  <c r="K119" i="1" s="1"/>
  <c r="J117" i="1"/>
  <c r="K117" i="1" s="1"/>
  <c r="J113" i="1"/>
  <c r="K113" i="1" s="1"/>
  <c r="J111" i="1"/>
  <c r="K111" i="1" s="1"/>
  <c r="J103" i="1"/>
  <c r="K103" i="1" s="1"/>
  <c r="J109" i="1"/>
  <c r="K109" i="1" s="1"/>
  <c r="J105" i="1"/>
  <c r="K105" i="1" s="1"/>
  <c r="J107" i="1"/>
  <c r="K107" i="1" s="1"/>
  <c r="D37" i="27" l="1"/>
  <c r="E37" i="27"/>
  <c r="P55" i="27"/>
  <c r="Q55" i="27"/>
  <c r="G73" i="27"/>
  <c r="H73" i="27"/>
  <c r="AB91" i="27"/>
  <c r="AC91" i="27"/>
  <c r="Y91" i="27"/>
  <c r="Z91" i="27"/>
  <c r="J91" i="27"/>
  <c r="K91" i="27"/>
  <c r="G109" i="27"/>
  <c r="H109" i="27"/>
  <c r="J109" i="27"/>
  <c r="K109" i="27"/>
  <c r="G127" i="27"/>
  <c r="H127" i="27"/>
  <c r="D127" i="27"/>
  <c r="E127" i="27"/>
  <c r="K8" i="12" l="1"/>
  <c r="C10" i="12"/>
  <c r="C8" i="12"/>
  <c r="B12" i="12"/>
  <c r="B10" i="12"/>
  <c r="B8" i="12"/>
  <c r="E8" i="12"/>
  <c r="Y83" i="1" l="1"/>
  <c r="Y74" i="1"/>
  <c r="Y77" i="1" s="1"/>
  <c r="Y70" i="1"/>
  <c r="Y73" i="1" s="1"/>
  <c r="Y66" i="1"/>
  <c r="Y69" i="1" s="1"/>
  <c r="Y59" i="1"/>
  <c r="Y58" i="1"/>
  <c r="Y49" i="1"/>
  <c r="Y43" i="1"/>
  <c r="Y45" i="1" s="1"/>
  <c r="X83" i="1"/>
  <c r="X74" i="1"/>
  <c r="X77" i="1" s="1"/>
  <c r="X70" i="1"/>
  <c r="X73" i="1" s="1"/>
  <c r="X66" i="1"/>
  <c r="X69" i="1" s="1"/>
  <c r="X59" i="1"/>
  <c r="X49" i="1"/>
  <c r="X43" i="1"/>
  <c r="X45" i="1" s="1"/>
  <c r="W83" i="1"/>
  <c r="W74" i="1"/>
  <c r="W77" i="1" s="1"/>
  <c r="W70" i="1"/>
  <c r="W72" i="1" s="1"/>
  <c r="W66" i="1"/>
  <c r="W69" i="1" s="1"/>
  <c r="W59" i="1"/>
  <c r="W49" i="1"/>
  <c r="W43" i="1"/>
  <c r="W46" i="1" s="1"/>
  <c r="V83" i="1"/>
  <c r="V74" i="1"/>
  <c r="V76" i="1" s="1"/>
  <c r="V70" i="1"/>
  <c r="V73" i="1" s="1"/>
  <c r="V66" i="1"/>
  <c r="V69" i="1" s="1"/>
  <c r="V59" i="1"/>
  <c r="V49" i="1"/>
  <c r="V43" i="1"/>
  <c r="V46" i="1" s="1"/>
  <c r="U83" i="1"/>
  <c r="U74" i="1"/>
  <c r="U77" i="1" s="1"/>
  <c r="U70" i="1"/>
  <c r="U73" i="1" s="1"/>
  <c r="U66" i="1"/>
  <c r="U69" i="1" s="1"/>
  <c r="U59" i="1"/>
  <c r="U49" i="1"/>
  <c r="U43" i="1"/>
  <c r="U46" i="1" s="1"/>
  <c r="S83" i="1"/>
  <c r="T74" i="1"/>
  <c r="T77" i="1" s="1"/>
  <c r="T70" i="1"/>
  <c r="T73" i="1" s="1"/>
  <c r="T66" i="1"/>
  <c r="T59" i="1"/>
  <c r="T49" i="1"/>
  <c r="T43" i="1"/>
  <c r="T45" i="1" s="1"/>
  <c r="S74" i="1"/>
  <c r="S77" i="1" s="1"/>
  <c r="S70" i="1"/>
  <c r="S73" i="1" s="1"/>
  <c r="S66" i="1"/>
  <c r="S69" i="1" s="1"/>
  <c r="S59" i="1"/>
  <c r="S49" i="1"/>
  <c r="S43" i="1"/>
  <c r="S46" i="1" s="1"/>
  <c r="R83" i="1"/>
  <c r="R74" i="1"/>
  <c r="R77" i="1" s="1"/>
  <c r="R70" i="1"/>
  <c r="R73" i="1" s="1"/>
  <c r="R66" i="1"/>
  <c r="R69" i="1" s="1"/>
  <c r="R59" i="1"/>
  <c r="R49" i="1"/>
  <c r="R43" i="1"/>
  <c r="R45" i="1" s="1"/>
  <c r="Q83" i="1"/>
  <c r="Q74" i="1"/>
  <c r="Q77" i="1" s="1"/>
  <c r="Q70" i="1"/>
  <c r="Q73" i="1" s="1"/>
  <c r="Q66" i="1"/>
  <c r="Q69" i="1" s="1"/>
  <c r="Q59" i="1"/>
  <c r="Q49" i="1"/>
  <c r="Q43" i="1"/>
  <c r="Q46" i="1" s="1"/>
  <c r="P83" i="1"/>
  <c r="P74" i="1"/>
  <c r="P77" i="1" s="1"/>
  <c r="P70" i="1"/>
  <c r="P73" i="1" s="1"/>
  <c r="P66" i="1"/>
  <c r="P69" i="1" s="1"/>
  <c r="P59" i="1"/>
  <c r="P49" i="1"/>
  <c r="P43" i="1"/>
  <c r="P46" i="1" s="1"/>
  <c r="O83" i="1"/>
  <c r="O74" i="1"/>
  <c r="O76" i="1" s="1"/>
  <c r="O70" i="1"/>
  <c r="O73" i="1" s="1"/>
  <c r="O66" i="1"/>
  <c r="O69" i="1" s="1"/>
  <c r="O49" i="1"/>
  <c r="O43" i="1"/>
  <c r="O46" i="1" s="1"/>
  <c r="N83" i="1"/>
  <c r="N74" i="1"/>
  <c r="N77" i="1" s="1"/>
  <c r="N70" i="1"/>
  <c r="N73" i="1" s="1"/>
  <c r="N66" i="1"/>
  <c r="N69" i="1" s="1"/>
  <c r="N59" i="1"/>
  <c r="N60" i="1" s="1"/>
  <c r="N49" i="1"/>
  <c r="N50" i="1" s="1"/>
  <c r="N52" i="1" s="1"/>
  <c r="L222" i="1"/>
  <c r="L221" i="1"/>
  <c r="L220" i="1"/>
  <c r="L219" i="1"/>
  <c r="L218" i="1"/>
  <c r="L217" i="1"/>
  <c r="L216" i="1"/>
  <c r="L215" i="1"/>
  <c r="O214" i="1"/>
  <c r="N214" i="1"/>
  <c r="L214" i="1"/>
  <c r="L213" i="1"/>
  <c r="K204" i="1"/>
  <c r="M204" i="1" s="1"/>
  <c r="X204" i="1" s="1"/>
  <c r="Q193" i="1"/>
  <c r="P193" i="1"/>
  <c r="F192" i="1"/>
  <c r="F191" i="1"/>
  <c r="J183" i="1"/>
  <c r="I183" i="1"/>
  <c r="H183" i="1"/>
  <c r="G183" i="1"/>
  <c r="J173" i="1"/>
  <c r="I173" i="1"/>
  <c r="H173" i="1"/>
  <c r="G173" i="1"/>
  <c r="J163" i="1"/>
  <c r="I163" i="1"/>
  <c r="H163" i="1"/>
  <c r="G163" i="1"/>
  <c r="I152" i="1"/>
  <c r="J150" i="1"/>
  <c r="I150" i="1"/>
  <c r="J148" i="1"/>
  <c r="J146" i="1"/>
  <c r="J144" i="1"/>
  <c r="J142" i="1"/>
  <c r="J140" i="1"/>
  <c r="J138" i="1"/>
  <c r="J136" i="1"/>
  <c r="J134" i="1"/>
  <c r="J132" i="1"/>
  <c r="J130" i="1"/>
  <c r="I130" i="1"/>
  <c r="J128" i="1"/>
  <c r="J126" i="1"/>
  <c r="J124" i="1"/>
  <c r="J122" i="1"/>
  <c r="J120" i="1"/>
  <c r="J118" i="1"/>
  <c r="J116" i="1"/>
  <c r="J114" i="1"/>
  <c r="J112" i="1"/>
  <c r="J110" i="1"/>
  <c r="I110" i="1"/>
  <c r="J108" i="1"/>
  <c r="J106" i="1"/>
  <c r="J104" i="1"/>
  <c r="Y55" i="1"/>
  <c r="X55" i="1"/>
  <c r="W55" i="1"/>
  <c r="V55" i="1"/>
  <c r="U55" i="1"/>
  <c r="T55" i="1"/>
  <c r="S55" i="1"/>
  <c r="R55" i="1"/>
  <c r="Q55" i="1"/>
  <c r="P55" i="1"/>
  <c r="O55" i="1"/>
  <c r="N55" i="1"/>
  <c r="Y54" i="1"/>
  <c r="X54" i="1"/>
  <c r="W54" i="1"/>
  <c r="V54" i="1"/>
  <c r="U54" i="1"/>
  <c r="T54" i="1"/>
  <c r="S54" i="1"/>
  <c r="R54" i="1"/>
  <c r="Q54" i="1"/>
  <c r="P54" i="1"/>
  <c r="O54" i="1"/>
  <c r="N54" i="1"/>
  <c r="N43" i="1"/>
  <c r="N46" i="1" s="1"/>
  <c r="K36" i="1"/>
  <c r="J36" i="1"/>
  <c r="N34" i="1"/>
  <c r="M34" i="1"/>
  <c r="K34" i="1"/>
  <c r="J34" i="1"/>
  <c r="K30" i="1"/>
  <c r="J30" i="1"/>
  <c r="H30" i="1"/>
  <c r="K28" i="1"/>
  <c r="J28" i="1"/>
  <c r="H28" i="1"/>
  <c r="K20" i="1"/>
  <c r="J20" i="1"/>
  <c r="K18" i="1"/>
  <c r="J18" i="1"/>
  <c r="K16" i="1"/>
  <c r="J16" i="1"/>
  <c r="L111" i="1" l="1"/>
  <c r="M111" i="1" s="1"/>
  <c r="L113" i="1"/>
  <c r="M113" i="1" s="1"/>
  <c r="L107" i="1"/>
  <c r="M107" i="1" s="1"/>
  <c r="L109" i="1"/>
  <c r="M109" i="1" s="1"/>
  <c r="L103" i="1"/>
  <c r="M103" i="1" s="1"/>
  <c r="L105" i="1"/>
  <c r="M105" i="1" s="1"/>
  <c r="M119" i="1"/>
  <c r="M121" i="1"/>
  <c r="M115" i="1"/>
  <c r="M117" i="1"/>
  <c r="O204" i="1"/>
  <c r="R204" i="1"/>
  <c r="W204" i="1"/>
  <c r="S204" i="1"/>
  <c r="N204" i="1"/>
  <c r="V204" i="1"/>
  <c r="Q204" i="1"/>
  <c r="U204" i="1"/>
  <c r="Y204" i="1"/>
  <c r="P204" i="1"/>
  <c r="T204" i="1"/>
  <c r="K173" i="1"/>
  <c r="R76" i="1"/>
  <c r="S76" i="1"/>
  <c r="R72" i="1"/>
  <c r="O77" i="1"/>
  <c r="X46" i="1"/>
  <c r="V77" i="1"/>
  <c r="U45" i="1"/>
  <c r="R46" i="1"/>
  <c r="W73" i="1"/>
  <c r="V45" i="1"/>
  <c r="T46" i="1"/>
  <c r="Y46" i="1"/>
  <c r="S45" i="1"/>
  <c r="N76" i="1"/>
  <c r="P45" i="1"/>
  <c r="T72" i="1"/>
  <c r="X72" i="1"/>
  <c r="Q45" i="1"/>
  <c r="U72" i="1"/>
  <c r="Y72" i="1"/>
  <c r="N72" i="1"/>
  <c r="V72" i="1"/>
  <c r="O72" i="1"/>
  <c r="S72" i="1"/>
  <c r="W76" i="1"/>
  <c r="N45" i="1"/>
  <c r="P72" i="1"/>
  <c r="P76" i="1"/>
  <c r="T76" i="1"/>
  <c r="X76" i="1"/>
  <c r="O45" i="1"/>
  <c r="W45" i="1"/>
  <c r="Q72" i="1"/>
  <c r="Q76" i="1"/>
  <c r="U76" i="1"/>
  <c r="Y76" i="1"/>
  <c r="N51" i="1"/>
  <c r="X68" i="1"/>
  <c r="T69" i="1"/>
  <c r="Q68" i="1"/>
  <c r="Y68" i="1"/>
  <c r="R68" i="1"/>
  <c r="S68" i="1"/>
  <c r="W68" i="1"/>
  <c r="K183" i="1"/>
  <c r="B120" i="12"/>
  <c r="B119" i="12"/>
  <c r="L26" i="1"/>
  <c r="L27" i="1"/>
  <c r="L152" i="1" l="1"/>
  <c r="R149" i="1"/>
  <c r="T149" i="1"/>
  <c r="O149" i="1"/>
  <c r="Y149" i="1"/>
  <c r="S145" i="1"/>
  <c r="P145" i="1"/>
  <c r="V145" i="1"/>
  <c r="O145" i="1"/>
  <c r="R145" i="1"/>
  <c r="X145" i="1"/>
  <c r="N145" i="1"/>
  <c r="Y145" i="1"/>
  <c r="W145" i="1"/>
  <c r="T145" i="1"/>
  <c r="Q145" i="1"/>
  <c r="U145" i="1"/>
  <c r="U147" i="1"/>
  <c r="X147" i="1"/>
  <c r="P147" i="1"/>
  <c r="T147" i="1"/>
  <c r="S147" i="1"/>
  <c r="V147" i="1"/>
  <c r="N147" i="1"/>
  <c r="Q147" i="1"/>
  <c r="Y147" i="1"/>
  <c r="W147" i="1"/>
  <c r="O147" i="1"/>
  <c r="R147" i="1"/>
  <c r="R141" i="1"/>
  <c r="X141" i="1"/>
  <c r="Y141" i="1"/>
  <c r="N141" i="1"/>
  <c r="P141" i="1"/>
  <c r="U141" i="1"/>
  <c r="T141" i="1"/>
  <c r="W141" i="1"/>
  <c r="V141" i="1"/>
  <c r="Q141" i="1"/>
  <c r="S141" i="1"/>
  <c r="O141" i="1"/>
  <c r="X143" i="1"/>
  <c r="T143" i="1"/>
  <c r="P143" i="1"/>
  <c r="W143" i="1"/>
  <c r="O143" i="1"/>
  <c r="N143" i="1"/>
  <c r="S143" i="1"/>
  <c r="V143" i="1"/>
  <c r="Y143" i="1"/>
  <c r="U143" i="1"/>
  <c r="Q143" i="1"/>
  <c r="R143" i="1"/>
  <c r="P149" i="1"/>
  <c r="U149" i="1"/>
  <c r="V149" i="1"/>
  <c r="S149" i="1"/>
  <c r="X149" i="1"/>
  <c r="N149" i="1"/>
  <c r="W149" i="1"/>
  <c r="Q149" i="1"/>
  <c r="R25" i="1"/>
  <c r="S25" i="1"/>
  <c r="P44" i="1" s="1"/>
  <c r="O25" i="1"/>
  <c r="X44" i="1" s="1"/>
  <c r="T25" i="1"/>
  <c r="Q44" i="1" s="1"/>
  <c r="Q25" i="1"/>
  <c r="N44" i="1" s="1"/>
  <c r="U25" i="1"/>
  <c r="R44" i="1" s="1"/>
  <c r="X25" i="1"/>
  <c r="U44" i="1" s="1"/>
  <c r="Y25" i="1"/>
  <c r="V44" i="1" s="1"/>
  <c r="V25" i="1"/>
  <c r="S44" i="1" s="1"/>
  <c r="O44" i="1"/>
  <c r="N25" i="1"/>
  <c r="W44" i="1" s="1"/>
  <c r="W25" i="1"/>
  <c r="T44" i="1" s="1"/>
  <c r="P25" i="1"/>
  <c r="Y44" i="1" s="1"/>
  <c r="H20" i="1"/>
  <c r="H18" i="1"/>
  <c r="A3" i="21" l="1"/>
  <c r="A3" i="20"/>
  <c r="A3" i="19"/>
  <c r="A3" i="18"/>
  <c r="N213" i="1" l="1"/>
  <c r="E2" i="18" l="1"/>
  <c r="I148" i="1"/>
  <c r="I146" i="1"/>
  <c r="I144" i="1"/>
  <c r="I142" i="1"/>
  <c r="I140" i="1"/>
  <c r="I138" i="1"/>
  <c r="I136" i="1"/>
  <c r="I134" i="1"/>
  <c r="I132" i="1"/>
  <c r="I128" i="1"/>
  <c r="I126" i="1"/>
  <c r="I124" i="1"/>
  <c r="I122" i="1"/>
  <c r="I120" i="1"/>
  <c r="I118" i="1"/>
  <c r="I116" i="1"/>
  <c r="I114" i="1"/>
  <c r="I112" i="1"/>
  <c r="I108" i="1"/>
  <c r="B4" i="11" l="1"/>
  <c r="B3" i="11"/>
  <c r="A44" i="21"/>
  <c r="G49" i="21"/>
  <c r="G48" i="21"/>
  <c r="G47" i="21"/>
  <c r="G46" i="21"/>
  <c r="G45" i="21"/>
  <c r="G44" i="21"/>
  <c r="G43" i="21"/>
  <c r="G42" i="21"/>
  <c r="G41" i="21"/>
  <c r="G40" i="21"/>
  <c r="E49" i="21"/>
  <c r="E48" i="21"/>
  <c r="E47" i="21"/>
  <c r="E46" i="21"/>
  <c r="E45" i="21"/>
  <c r="E44" i="21"/>
  <c r="E43" i="21"/>
  <c r="E42" i="21"/>
  <c r="E41" i="21"/>
  <c r="E40" i="21"/>
  <c r="D49" i="21"/>
  <c r="D48" i="21"/>
  <c r="D47" i="21"/>
  <c r="D46" i="21"/>
  <c r="D45" i="21"/>
  <c r="D44" i="21"/>
  <c r="D43" i="21"/>
  <c r="D42" i="21"/>
  <c r="D41" i="21"/>
  <c r="D40" i="21"/>
  <c r="C49" i="21"/>
  <c r="C48" i="21"/>
  <c r="C47" i="21"/>
  <c r="C46" i="21"/>
  <c r="C45" i="21"/>
  <c r="C44" i="21"/>
  <c r="C43" i="21"/>
  <c r="C42" i="21"/>
  <c r="C41" i="21"/>
  <c r="C40" i="21"/>
  <c r="B49" i="21"/>
  <c r="B48" i="21"/>
  <c r="B47" i="21"/>
  <c r="B46" i="21"/>
  <c r="B45" i="21"/>
  <c r="B44" i="21"/>
  <c r="B43" i="21"/>
  <c r="B42" i="21"/>
  <c r="B41" i="21"/>
  <c r="B40" i="21"/>
  <c r="A49" i="21"/>
  <c r="A48" i="21"/>
  <c r="A47" i="21"/>
  <c r="A46" i="21"/>
  <c r="A45" i="21"/>
  <c r="A43" i="21"/>
  <c r="A42" i="21"/>
  <c r="A41" i="21"/>
  <c r="A40" i="21"/>
  <c r="E33" i="21"/>
  <c r="E31" i="21"/>
  <c r="E30" i="21"/>
  <c r="E29" i="21"/>
  <c r="E28" i="21"/>
  <c r="E25" i="21"/>
  <c r="E24" i="21"/>
  <c r="E23" i="21"/>
  <c r="E22" i="21"/>
  <c r="E21" i="21"/>
  <c r="E20" i="21"/>
  <c r="E19" i="21"/>
  <c r="E18" i="21"/>
  <c r="E17" i="21"/>
  <c r="E16" i="21"/>
  <c r="E15" i="21"/>
  <c r="G33" i="21"/>
  <c r="G32" i="21"/>
  <c r="G31" i="21"/>
  <c r="G30" i="21"/>
  <c r="G29" i="21"/>
  <c r="G28" i="21"/>
  <c r="G27" i="21"/>
  <c r="G26" i="21"/>
  <c r="G25" i="21"/>
  <c r="G24" i="21"/>
  <c r="G23" i="21"/>
  <c r="G22" i="21"/>
  <c r="G21" i="21"/>
  <c r="G20" i="21"/>
  <c r="G19" i="21"/>
  <c r="G18" i="21"/>
  <c r="G17" i="21"/>
  <c r="G16" i="21"/>
  <c r="G15" i="21"/>
  <c r="G14" i="21"/>
  <c r="G13" i="21"/>
  <c r="G12" i="21"/>
  <c r="G11" i="21"/>
  <c r="G10" i="21"/>
  <c r="D33" i="21"/>
  <c r="D32" i="21"/>
  <c r="D31" i="21"/>
  <c r="D30" i="21"/>
  <c r="D29" i="21"/>
  <c r="D28" i="21"/>
  <c r="D27" i="21"/>
  <c r="D26" i="21"/>
  <c r="D25" i="21"/>
  <c r="D24" i="21"/>
  <c r="D22" i="21"/>
  <c r="C33" i="21"/>
  <c r="C32" i="21"/>
  <c r="C31" i="21"/>
  <c r="C30" i="21"/>
  <c r="C29" i="21"/>
  <c r="C28" i="21"/>
  <c r="C27" i="21"/>
  <c r="C26" i="21"/>
  <c r="C25" i="21"/>
  <c r="C24" i="21"/>
  <c r="C23" i="21"/>
  <c r="C22" i="21"/>
  <c r="C21" i="21"/>
  <c r="C20" i="21"/>
  <c r="C19" i="21"/>
  <c r="C18" i="21"/>
  <c r="C17" i="21"/>
  <c r="C16" i="21"/>
  <c r="C15" i="21"/>
  <c r="C14" i="21"/>
  <c r="C13" i="21"/>
  <c r="C12" i="21"/>
  <c r="C11" i="21"/>
  <c r="C10" i="21"/>
  <c r="B33" i="21"/>
  <c r="B32" i="21"/>
  <c r="B31" i="21"/>
  <c r="B30" i="21"/>
  <c r="B29" i="21"/>
  <c r="B28" i="21"/>
  <c r="B27" i="21"/>
  <c r="B26" i="21"/>
  <c r="B25" i="21"/>
  <c r="B24" i="21"/>
  <c r="B23" i="21"/>
  <c r="B22" i="21"/>
  <c r="B21" i="21"/>
  <c r="B20" i="21"/>
  <c r="B19" i="21"/>
  <c r="B18" i="21"/>
  <c r="B17" i="21"/>
  <c r="B16" i="21"/>
  <c r="B15" i="21"/>
  <c r="B14" i="21"/>
  <c r="B13" i="21"/>
  <c r="B12" i="21"/>
  <c r="B11" i="21"/>
  <c r="B10" i="21"/>
  <c r="A33" i="21"/>
  <c r="A32" i="21"/>
  <c r="A31" i="21"/>
  <c r="A30" i="21"/>
  <c r="A29" i="21"/>
  <c r="A28" i="21"/>
  <c r="A27" i="21"/>
  <c r="A26" i="21"/>
  <c r="A25" i="21"/>
  <c r="A24" i="21"/>
  <c r="A23" i="21"/>
  <c r="A22" i="21"/>
  <c r="A21" i="21"/>
  <c r="A20" i="21"/>
  <c r="A19" i="21"/>
  <c r="A18" i="21"/>
  <c r="A17" i="21"/>
  <c r="A16" i="21"/>
  <c r="A15" i="21"/>
  <c r="A14" i="21"/>
  <c r="A13" i="21"/>
  <c r="A12" i="21"/>
  <c r="A11" i="21"/>
  <c r="A10" i="21"/>
  <c r="A4" i="21"/>
  <c r="A2" i="21"/>
  <c r="G39" i="20"/>
  <c r="G35" i="20"/>
  <c r="G31" i="20"/>
  <c r="C34" i="21" l="1"/>
  <c r="C50" i="21"/>
  <c r="G38" i="20"/>
  <c r="G34" i="20"/>
  <c r="N20" i="20"/>
  <c r="M20" i="20"/>
  <c r="L20" i="20"/>
  <c r="K20" i="20"/>
  <c r="J20" i="20"/>
  <c r="I20" i="20"/>
  <c r="H20" i="20"/>
  <c r="G20" i="20"/>
  <c r="F20" i="20"/>
  <c r="E20" i="20"/>
  <c r="D20" i="20"/>
  <c r="C20" i="20"/>
  <c r="B20" i="20"/>
  <c r="A4" i="20"/>
  <c r="A2" i="20"/>
  <c r="H77" i="19" l="1"/>
  <c r="H76" i="19"/>
  <c r="H75" i="19"/>
  <c r="H74" i="19"/>
  <c r="H73" i="19"/>
  <c r="H72" i="19"/>
  <c r="F77" i="19"/>
  <c r="F76" i="19"/>
  <c r="F75" i="19"/>
  <c r="F74" i="19"/>
  <c r="F73" i="19"/>
  <c r="F72" i="19"/>
  <c r="E77" i="19"/>
  <c r="E76" i="19"/>
  <c r="E75" i="19"/>
  <c r="E74" i="19"/>
  <c r="E73" i="19"/>
  <c r="E72" i="19"/>
  <c r="B77" i="19"/>
  <c r="B76" i="19"/>
  <c r="B75" i="19"/>
  <c r="B74" i="19"/>
  <c r="B73" i="19"/>
  <c r="B72" i="19"/>
  <c r="A77" i="19"/>
  <c r="A76" i="19"/>
  <c r="A75" i="19"/>
  <c r="A74" i="19"/>
  <c r="A73" i="19"/>
  <c r="A72" i="19"/>
  <c r="A88" i="19"/>
  <c r="A87" i="19"/>
  <c r="A86" i="19"/>
  <c r="A85" i="19"/>
  <c r="A84" i="19"/>
  <c r="A83" i="19"/>
  <c r="R193" i="1"/>
  <c r="O193" i="1"/>
  <c r="N193" i="1"/>
  <c r="M193" i="1"/>
  <c r="L193" i="1"/>
  <c r="A4" i="19"/>
  <c r="E78" i="19" l="1"/>
  <c r="F78" i="19"/>
  <c r="D18" i="18"/>
  <c r="D16" i="18"/>
  <c r="A17" i="18"/>
  <c r="A16" i="18"/>
  <c r="A4" i="18"/>
  <c r="A65" i="19" l="1"/>
  <c r="A64" i="19"/>
  <c r="A63" i="19"/>
  <c r="A62" i="19"/>
  <c r="A61" i="19"/>
  <c r="A60" i="19"/>
  <c r="A59" i="19"/>
  <c r="A58" i="19"/>
  <c r="A57" i="19"/>
  <c r="A56" i="19"/>
  <c r="A55" i="19"/>
  <c r="A54" i="19"/>
  <c r="A53" i="19"/>
  <c r="A52" i="19"/>
  <c r="A51" i="19"/>
  <c r="A50" i="19"/>
  <c r="A49" i="19"/>
  <c r="A48" i="19"/>
  <c r="A47" i="19"/>
  <c r="A46" i="19"/>
  <c r="A45" i="19"/>
  <c r="A44" i="19"/>
  <c r="A43" i="19"/>
  <c r="A42" i="19"/>
  <c r="J33" i="19"/>
  <c r="K33" i="19" s="1"/>
  <c r="J32" i="19"/>
  <c r="J31" i="19"/>
  <c r="K31" i="19" s="1"/>
  <c r="J30" i="19"/>
  <c r="K30" i="19" s="1"/>
  <c r="J29" i="19"/>
  <c r="K29" i="19" s="1"/>
  <c r="J28" i="19"/>
  <c r="K28" i="19" s="1"/>
  <c r="J27" i="19"/>
  <c r="J26" i="19"/>
  <c r="J25" i="19"/>
  <c r="K25" i="19" s="1"/>
  <c r="J24" i="19"/>
  <c r="K24" i="19" s="1"/>
  <c r="J23" i="19"/>
  <c r="K23" i="19" s="1"/>
  <c r="J22" i="19"/>
  <c r="K22" i="19" s="1"/>
  <c r="J21" i="19"/>
  <c r="K21" i="19" s="1"/>
  <c r="J20" i="19"/>
  <c r="K20" i="19" s="1"/>
  <c r="J19" i="19"/>
  <c r="K19" i="19" s="1"/>
  <c r="J18" i="19"/>
  <c r="K18" i="19" s="1"/>
  <c r="J17" i="19"/>
  <c r="K17" i="19" s="1"/>
  <c r="J16" i="19"/>
  <c r="J15" i="19"/>
  <c r="J14" i="19"/>
  <c r="J13" i="19"/>
  <c r="J12" i="19"/>
  <c r="J11" i="19"/>
  <c r="J10" i="19"/>
  <c r="F33" i="19"/>
  <c r="F32" i="19"/>
  <c r="F31" i="19"/>
  <c r="F30" i="19"/>
  <c r="F29" i="19"/>
  <c r="F28" i="19"/>
  <c r="F27" i="19"/>
  <c r="F26" i="19"/>
  <c r="F25" i="19"/>
  <c r="F24" i="19"/>
  <c r="F23" i="19"/>
  <c r="F22" i="19"/>
  <c r="F21" i="19"/>
  <c r="F20" i="19"/>
  <c r="F19" i="19"/>
  <c r="F18" i="19"/>
  <c r="F17" i="19"/>
  <c r="F16" i="19"/>
  <c r="F15" i="19"/>
  <c r="F14" i="19"/>
  <c r="F13" i="19"/>
  <c r="F12" i="19"/>
  <c r="F11" i="19"/>
  <c r="F10" i="19"/>
  <c r="E33" i="19"/>
  <c r="E32" i="19"/>
  <c r="E31" i="19"/>
  <c r="E30" i="19"/>
  <c r="E29" i="19"/>
  <c r="E28" i="19"/>
  <c r="E27" i="19"/>
  <c r="E26" i="19"/>
  <c r="E25" i="19"/>
  <c r="E24" i="19"/>
  <c r="E23" i="19"/>
  <c r="E22" i="19"/>
  <c r="E21" i="19"/>
  <c r="E20" i="19"/>
  <c r="E19" i="19"/>
  <c r="E18" i="19"/>
  <c r="E17" i="19"/>
  <c r="E16" i="19"/>
  <c r="E15" i="19"/>
  <c r="E14" i="19"/>
  <c r="E13" i="19"/>
  <c r="E12" i="19"/>
  <c r="E11" i="19"/>
  <c r="E10" i="19"/>
  <c r="B33" i="19"/>
  <c r="B32" i="19"/>
  <c r="B31" i="19"/>
  <c r="B30" i="19"/>
  <c r="B29" i="19"/>
  <c r="B28" i="19"/>
  <c r="B27" i="19"/>
  <c r="B26" i="19"/>
  <c r="B25" i="19"/>
  <c r="B24" i="19"/>
  <c r="B23" i="19"/>
  <c r="B22" i="19"/>
  <c r="B21" i="19"/>
  <c r="B20" i="19"/>
  <c r="B19" i="19"/>
  <c r="B18" i="19"/>
  <c r="B17" i="19"/>
  <c r="B16" i="19"/>
  <c r="B15" i="19"/>
  <c r="B14" i="19"/>
  <c r="B13" i="19"/>
  <c r="B12" i="19"/>
  <c r="B11" i="19"/>
  <c r="B10" i="19"/>
  <c r="J21" i="18"/>
  <c r="I21" i="18"/>
  <c r="L20" i="18"/>
  <c r="K20" i="18"/>
  <c r="L34" i="1"/>
  <c r="J20" i="18"/>
  <c r="I20" i="18"/>
  <c r="J18" i="18"/>
  <c r="I18" i="18"/>
  <c r="J15" i="18"/>
  <c r="I15" i="18"/>
  <c r="J12" i="18"/>
  <c r="I12" i="18"/>
  <c r="J11" i="18"/>
  <c r="I11" i="18"/>
  <c r="I10" i="18"/>
  <c r="J10" i="18"/>
  <c r="A33" i="19"/>
  <c r="A32" i="19"/>
  <c r="A31" i="19"/>
  <c r="A30" i="19"/>
  <c r="A29" i="19"/>
  <c r="A28" i="19"/>
  <c r="A27" i="19"/>
  <c r="A26" i="19"/>
  <c r="A25" i="19"/>
  <c r="A24" i="19"/>
  <c r="A23" i="19"/>
  <c r="A22" i="19"/>
  <c r="A21" i="19"/>
  <c r="A20" i="19"/>
  <c r="A19" i="19"/>
  <c r="A18" i="19"/>
  <c r="A17" i="19"/>
  <c r="A16" i="19"/>
  <c r="A15" i="19"/>
  <c r="A14" i="19"/>
  <c r="A13" i="19"/>
  <c r="A12" i="19"/>
  <c r="A11" i="19"/>
  <c r="A10" i="19"/>
  <c r="A2" i="19"/>
  <c r="G21" i="18"/>
  <c r="G20" i="18"/>
  <c r="G19" i="18"/>
  <c r="G18" i="18"/>
  <c r="G15" i="18"/>
  <c r="G12" i="18"/>
  <c r="G11" i="18"/>
  <c r="D23" i="18"/>
  <c r="C23" i="18"/>
  <c r="B23" i="18"/>
  <c r="D22" i="18"/>
  <c r="C22" i="18"/>
  <c r="B22" i="18"/>
  <c r="D21" i="18"/>
  <c r="C21" i="18"/>
  <c r="B21" i="18"/>
  <c r="D20" i="18"/>
  <c r="C20" i="18"/>
  <c r="B20" i="18"/>
  <c r="D19" i="18"/>
  <c r="C19" i="18"/>
  <c r="B19" i="18"/>
  <c r="C18" i="18"/>
  <c r="B18" i="18"/>
  <c r="D17" i="18"/>
  <c r="C15" i="18"/>
  <c r="B15" i="18"/>
  <c r="D14" i="18"/>
  <c r="B14" i="18"/>
  <c r="D13" i="18"/>
  <c r="B13" i="18"/>
  <c r="D12" i="18"/>
  <c r="C12" i="18"/>
  <c r="B12" i="18"/>
  <c r="D11" i="18"/>
  <c r="C11" i="18"/>
  <c r="B11" i="18"/>
  <c r="G10" i="18"/>
  <c r="D10" i="18"/>
  <c r="C10" i="18"/>
  <c r="B10" i="18"/>
  <c r="A23" i="18"/>
  <c r="A40" i="18" s="1"/>
  <c r="A22" i="18"/>
  <c r="A39" i="18" s="1"/>
  <c r="A21" i="18"/>
  <c r="A38" i="18" s="1"/>
  <c r="A20" i="18"/>
  <c r="A37" i="18" s="1"/>
  <c r="A19" i="18"/>
  <c r="A36" i="18" s="1"/>
  <c r="A18" i="18"/>
  <c r="A35" i="18" s="1"/>
  <c r="A15" i="18"/>
  <c r="A34" i="18" s="1"/>
  <c r="A14" i="18"/>
  <c r="A33" i="18" s="1"/>
  <c r="A13" i="18"/>
  <c r="A32" i="18" s="1"/>
  <c r="A12" i="18"/>
  <c r="A31" i="18" s="1"/>
  <c r="A11" i="18"/>
  <c r="A30" i="18" s="1"/>
  <c r="A10" i="18"/>
  <c r="A29" i="18" s="1"/>
  <c r="A2" i="18"/>
  <c r="F35" i="19" l="1"/>
  <c r="E35" i="19"/>
  <c r="E34" i="19"/>
  <c r="H34" i="1"/>
  <c r="H32" i="1"/>
  <c r="H36" i="1"/>
  <c r="H16" i="1"/>
  <c r="J174" i="1" l="1"/>
  <c r="D41" i="5"/>
  <c r="D40" i="5"/>
  <c r="D39" i="5"/>
  <c r="D38" i="5"/>
  <c r="D37" i="5"/>
  <c r="D36" i="5"/>
  <c r="D35" i="5"/>
  <c r="D34" i="5"/>
  <c r="D33" i="5"/>
  <c r="D32" i="5"/>
  <c r="D31" i="5"/>
  <c r="D30" i="5"/>
  <c r="D29" i="5"/>
  <c r="D28" i="5"/>
  <c r="D27" i="5"/>
  <c r="D26" i="5"/>
  <c r="D25" i="5"/>
  <c r="D24" i="5"/>
  <c r="D23" i="5"/>
  <c r="D22" i="5"/>
  <c r="D21" i="5"/>
  <c r="D20" i="5"/>
  <c r="D19" i="5"/>
  <c r="D18" i="5"/>
  <c r="C41" i="5"/>
  <c r="K41" i="5" s="1"/>
  <c r="C40" i="5"/>
  <c r="K40" i="5" s="1"/>
  <c r="C39" i="5"/>
  <c r="K39" i="5" s="1"/>
  <c r="C38" i="5"/>
  <c r="K38" i="5" s="1"/>
  <c r="C37" i="5"/>
  <c r="K37" i="5" s="1"/>
  <c r="C36" i="5"/>
  <c r="K36" i="5" s="1"/>
  <c r="C35" i="5"/>
  <c r="K35" i="5" s="1"/>
  <c r="C34" i="5"/>
  <c r="K34" i="5" s="1"/>
  <c r="C33" i="5"/>
  <c r="K33" i="5" s="1"/>
  <c r="C32" i="5"/>
  <c r="K32" i="5" s="1"/>
  <c r="C31" i="5"/>
  <c r="K31" i="5" s="1"/>
  <c r="C30" i="5"/>
  <c r="K30" i="5" s="1"/>
  <c r="C29" i="5"/>
  <c r="K29" i="5" s="1"/>
  <c r="C28" i="5"/>
  <c r="K28" i="5" s="1"/>
  <c r="C27" i="5"/>
  <c r="K27" i="5" s="1"/>
  <c r="C26" i="5"/>
  <c r="K26" i="5" s="1"/>
  <c r="C25" i="5"/>
  <c r="K25" i="5" s="1"/>
  <c r="C24" i="5"/>
  <c r="K24" i="5" s="1"/>
  <c r="C23" i="5"/>
  <c r="K23" i="5" s="1"/>
  <c r="C22" i="5"/>
  <c r="K22" i="5" s="1"/>
  <c r="C21" i="5"/>
  <c r="K21" i="5" s="1"/>
  <c r="C20" i="5"/>
  <c r="K20" i="5" s="1"/>
  <c r="C19" i="5"/>
  <c r="K19" i="5" s="1"/>
  <c r="C18" i="5"/>
  <c r="K18" i="5" s="1"/>
  <c r="B41" i="5"/>
  <c r="B40" i="5"/>
  <c r="B39" i="5"/>
  <c r="B38" i="5"/>
  <c r="B37" i="5"/>
  <c r="B36" i="5"/>
  <c r="B35" i="5"/>
  <c r="B34" i="5"/>
  <c r="B33" i="5"/>
  <c r="B32" i="5"/>
  <c r="B31" i="5"/>
  <c r="B30" i="5"/>
  <c r="B29" i="5"/>
  <c r="B28" i="5"/>
  <c r="B27" i="5"/>
  <c r="B26" i="5"/>
  <c r="B25" i="5"/>
  <c r="B24" i="5"/>
  <c r="B23" i="5"/>
  <c r="B22" i="5"/>
  <c r="B21" i="5"/>
  <c r="B20" i="5"/>
  <c r="B19" i="5"/>
  <c r="B18" i="5"/>
  <c r="J182" i="1"/>
  <c r="J181" i="1"/>
  <c r="J180" i="1"/>
  <c r="J179" i="1"/>
  <c r="J178" i="1"/>
  <c r="J177" i="1"/>
  <c r="J176" i="1"/>
  <c r="J175" i="1"/>
  <c r="D23" i="21"/>
  <c r="J172" i="1"/>
  <c r="J171" i="1"/>
  <c r="D21" i="21" s="1"/>
  <c r="J170" i="1"/>
  <c r="D20" i="21" s="1"/>
  <c r="I182" i="1"/>
  <c r="I181" i="1"/>
  <c r="I180" i="1"/>
  <c r="I179" i="1"/>
  <c r="I178" i="1"/>
  <c r="I177" i="1"/>
  <c r="I176" i="1"/>
  <c r="I175" i="1"/>
  <c r="I174" i="1"/>
  <c r="I172" i="1"/>
  <c r="I171" i="1"/>
  <c r="I170" i="1"/>
  <c r="I169" i="1"/>
  <c r="I168" i="1"/>
  <c r="I167" i="1"/>
  <c r="I166" i="1"/>
  <c r="I165" i="1"/>
  <c r="I164" i="1"/>
  <c r="I162" i="1"/>
  <c r="N183" i="1"/>
  <c r="I33" i="21" s="1"/>
  <c r="H182" i="1"/>
  <c r="N182" i="1" s="1"/>
  <c r="I32" i="21" s="1"/>
  <c r="H181" i="1"/>
  <c r="N181" i="1" s="1"/>
  <c r="I31" i="21" s="1"/>
  <c r="H180" i="1"/>
  <c r="N180" i="1" s="1"/>
  <c r="I30" i="21" s="1"/>
  <c r="H179" i="1"/>
  <c r="N179" i="1" s="1"/>
  <c r="I29" i="21" s="1"/>
  <c r="H178" i="1"/>
  <c r="N178" i="1" s="1"/>
  <c r="I28" i="21" s="1"/>
  <c r="H177" i="1"/>
  <c r="N177" i="1" s="1"/>
  <c r="I27" i="21" s="1"/>
  <c r="H176" i="1"/>
  <c r="N176" i="1" s="1"/>
  <c r="I26" i="21" s="1"/>
  <c r="H175" i="1"/>
  <c r="N175" i="1" s="1"/>
  <c r="I25" i="21" s="1"/>
  <c r="H174" i="1"/>
  <c r="N173" i="1"/>
  <c r="I23" i="21" s="1"/>
  <c r="H172" i="1"/>
  <c r="N172" i="1" s="1"/>
  <c r="I22" i="21" s="1"/>
  <c r="H171" i="1"/>
  <c r="N171" i="1" s="1"/>
  <c r="I21" i="21" s="1"/>
  <c r="H170" i="1"/>
  <c r="N170" i="1" s="1"/>
  <c r="I20" i="21" s="1"/>
  <c r="H169" i="1"/>
  <c r="N169" i="1" s="1"/>
  <c r="I19" i="21" s="1"/>
  <c r="H168" i="1"/>
  <c r="N168" i="1" s="1"/>
  <c r="I18" i="21" s="1"/>
  <c r="H167" i="1"/>
  <c r="N167" i="1" s="1"/>
  <c r="I17" i="21" s="1"/>
  <c r="H166" i="1"/>
  <c r="N166" i="1" s="1"/>
  <c r="I16" i="21" s="1"/>
  <c r="H165" i="1"/>
  <c r="N165" i="1" s="1"/>
  <c r="I15" i="21" s="1"/>
  <c r="H164" i="1"/>
  <c r="N163" i="1"/>
  <c r="I13" i="21" s="1"/>
  <c r="H162" i="1"/>
  <c r="N162" i="1" s="1"/>
  <c r="I12" i="21" s="1"/>
  <c r="G182" i="1"/>
  <c r="G181" i="1"/>
  <c r="G180" i="1"/>
  <c r="G179" i="1"/>
  <c r="G178" i="1"/>
  <c r="G177" i="1"/>
  <c r="G176" i="1"/>
  <c r="G175" i="1"/>
  <c r="G174" i="1"/>
  <c r="G172" i="1"/>
  <c r="G171" i="1"/>
  <c r="G170" i="1"/>
  <c r="G169" i="1"/>
  <c r="G168" i="1"/>
  <c r="G167" i="1"/>
  <c r="G166" i="1"/>
  <c r="G165" i="1"/>
  <c r="G164" i="1"/>
  <c r="G162" i="1"/>
  <c r="I161" i="1"/>
  <c r="I160" i="1"/>
  <c r="H161" i="1"/>
  <c r="N161" i="1" s="1"/>
  <c r="I11" i="21" s="1"/>
  <c r="H160" i="1"/>
  <c r="N160" i="1" s="1"/>
  <c r="I10" i="21" s="1"/>
  <c r="G161" i="1"/>
  <c r="G160" i="1"/>
  <c r="G33" i="19"/>
  <c r="G32" i="19"/>
  <c r="G31" i="19"/>
  <c r="G30" i="19"/>
  <c r="G29" i="19"/>
  <c r="G28" i="19"/>
  <c r="G27" i="19"/>
  <c r="G26" i="19"/>
  <c r="G25" i="19"/>
  <c r="J169" i="1"/>
  <c r="D19" i="21" s="1"/>
  <c r="J168" i="1"/>
  <c r="D18" i="21" s="1"/>
  <c r="J167" i="1"/>
  <c r="D17" i="21" s="1"/>
  <c r="J166" i="1"/>
  <c r="D16" i="21" s="1"/>
  <c r="J165" i="1"/>
  <c r="D15" i="21" s="1"/>
  <c r="J164" i="1"/>
  <c r="D14" i="21" s="1"/>
  <c r="D13" i="21"/>
  <c r="J162" i="1"/>
  <c r="D12" i="21" s="1"/>
  <c r="J161" i="1"/>
  <c r="D11" i="21" s="1"/>
  <c r="K167" i="1" l="1"/>
  <c r="K171" i="1"/>
  <c r="N164" i="1"/>
  <c r="I14" i="21" s="1"/>
  <c r="K162" i="1"/>
  <c r="K176" i="1"/>
  <c r="K180" i="1"/>
  <c r="K164" i="1"/>
  <c r="M164" i="1" s="1"/>
  <c r="K168" i="1"/>
  <c r="K172" i="1"/>
  <c r="K177" i="1"/>
  <c r="K181" i="1"/>
  <c r="K161" i="1"/>
  <c r="I24" i="21"/>
  <c r="N174" i="1"/>
  <c r="K165" i="1"/>
  <c r="K169" i="1"/>
  <c r="K174" i="1"/>
  <c r="M174" i="1" s="1"/>
  <c r="K178" i="1"/>
  <c r="K182" i="1"/>
  <c r="K166" i="1"/>
  <c r="K170" i="1"/>
  <c r="K175" i="1"/>
  <c r="K179" i="1"/>
  <c r="E41" i="5"/>
  <c r="H29" i="19"/>
  <c r="H25" i="19"/>
  <c r="H21" i="19"/>
  <c r="H27" i="19"/>
  <c r="H19" i="19"/>
  <c r="H30" i="19"/>
  <c r="H26" i="19"/>
  <c r="H18" i="19"/>
  <c r="H32" i="19"/>
  <c r="H28" i="19"/>
  <c r="H24" i="19"/>
  <c r="H20" i="19"/>
  <c r="H16" i="19"/>
  <c r="H31" i="19"/>
  <c r="H23" i="19"/>
  <c r="H15" i="19"/>
  <c r="H22" i="19"/>
  <c r="H14" i="19"/>
  <c r="E18" i="5"/>
  <c r="H12" i="19"/>
  <c r="H11" i="19"/>
  <c r="H17" i="19"/>
  <c r="H13" i="19"/>
  <c r="E26" i="21"/>
  <c r="K26" i="19"/>
  <c r="E27" i="21"/>
  <c r="K27" i="19"/>
  <c r="E32" i="21"/>
  <c r="K32" i="19"/>
  <c r="D44" i="5"/>
  <c r="I185" i="1"/>
  <c r="F24" i="21"/>
  <c r="N274" i="1"/>
  <c r="H33" i="19" l="1"/>
  <c r="M183" i="1"/>
  <c r="H33" i="21" s="1"/>
  <c r="F33" i="21"/>
  <c r="M181" i="1"/>
  <c r="H31" i="21" s="1"/>
  <c r="F31" i="21"/>
  <c r="M180" i="1"/>
  <c r="H30" i="21" s="1"/>
  <c r="F30" i="21"/>
  <c r="M179" i="1"/>
  <c r="H29" i="21" s="1"/>
  <c r="F29" i="21"/>
  <c r="M178" i="1"/>
  <c r="H28" i="21" s="1"/>
  <c r="F28" i="21"/>
  <c r="M175" i="1"/>
  <c r="H25" i="21" s="1"/>
  <c r="F25" i="21"/>
  <c r="M173" i="1"/>
  <c r="H23" i="21" s="1"/>
  <c r="F23" i="21"/>
  <c r="M172" i="1"/>
  <c r="H22" i="21" s="1"/>
  <c r="F22" i="21"/>
  <c r="M171" i="1"/>
  <c r="H21" i="21" s="1"/>
  <c r="F21" i="21"/>
  <c r="M170" i="1"/>
  <c r="H20" i="21" s="1"/>
  <c r="F20" i="21"/>
  <c r="M176" i="1"/>
  <c r="H26" i="21" s="1"/>
  <c r="F26" i="21"/>
  <c r="M177" i="1"/>
  <c r="H27" i="21" s="1"/>
  <c r="F27" i="21"/>
  <c r="M182" i="1"/>
  <c r="H32" i="21" s="1"/>
  <c r="F32" i="21"/>
  <c r="E30" i="8"/>
  <c r="G40" i="20"/>
  <c r="E40" i="5"/>
  <c r="F40" i="5" s="1"/>
  <c r="E35" i="5"/>
  <c r="F35" i="5" s="1"/>
  <c r="E33" i="5"/>
  <c r="F33" i="5" s="1"/>
  <c r="E36" i="5"/>
  <c r="F36" i="5" s="1"/>
  <c r="E39" i="5"/>
  <c r="F39" i="5" s="1"/>
  <c r="H10" i="19"/>
  <c r="E38" i="5"/>
  <c r="F38" i="5" s="1"/>
  <c r="E37" i="5"/>
  <c r="F37" i="5" s="1"/>
  <c r="E34" i="5"/>
  <c r="F34" i="5" s="1"/>
  <c r="F41" i="5"/>
  <c r="H24" i="21"/>
  <c r="I224" i="1"/>
  <c r="F42" i="21"/>
  <c r="F41" i="21"/>
  <c r="F49" i="21"/>
  <c r="F48" i="21"/>
  <c r="F47" i="21"/>
  <c r="F46" i="21"/>
  <c r="F45" i="21"/>
  <c r="F44" i="21"/>
  <c r="F43" i="21"/>
  <c r="F40" i="21"/>
  <c r="O222" i="1"/>
  <c r="I49" i="21" s="1"/>
  <c r="O221" i="1"/>
  <c r="I48" i="21" s="1"/>
  <c r="O220" i="1"/>
  <c r="I47" i="21" s="1"/>
  <c r="O219" i="1"/>
  <c r="I46" i="21" s="1"/>
  <c r="O218" i="1"/>
  <c r="I45" i="21" s="1"/>
  <c r="O217" i="1"/>
  <c r="I44" i="21" s="1"/>
  <c r="O216" i="1"/>
  <c r="I43" i="21" s="1"/>
  <c r="O215" i="1"/>
  <c r="I42" i="21" s="1"/>
  <c r="I41" i="21"/>
  <c r="O213" i="1"/>
  <c r="I40" i="21" s="1"/>
  <c r="X139" i="1" l="1"/>
  <c r="L60" i="19" s="1"/>
  <c r="V139" i="1"/>
  <c r="J60" i="19" s="1"/>
  <c r="T139" i="1"/>
  <c r="H60" i="19" s="1"/>
  <c r="R139" i="1"/>
  <c r="F60" i="19" s="1"/>
  <c r="P139" i="1"/>
  <c r="D60" i="19" s="1"/>
  <c r="N139" i="1"/>
  <c r="B60" i="19" s="1"/>
  <c r="Y139" i="1"/>
  <c r="M60" i="19" s="1"/>
  <c r="W139" i="1"/>
  <c r="K60" i="19" s="1"/>
  <c r="U139" i="1"/>
  <c r="I60" i="19" s="1"/>
  <c r="S139" i="1"/>
  <c r="G60" i="19" s="1"/>
  <c r="Q139" i="1"/>
  <c r="E60" i="19" s="1"/>
  <c r="O139" i="1"/>
  <c r="C60" i="19" s="1"/>
  <c r="V137" i="1"/>
  <c r="J59" i="19" s="1"/>
  <c r="R137" i="1"/>
  <c r="F59" i="19" s="1"/>
  <c r="N137" i="1"/>
  <c r="B59" i="19" s="1"/>
  <c r="W137" i="1"/>
  <c r="K59" i="19" s="1"/>
  <c r="S137" i="1"/>
  <c r="G59" i="19" s="1"/>
  <c r="O137" i="1"/>
  <c r="C59" i="19" s="1"/>
  <c r="X137" i="1"/>
  <c r="L59" i="19" s="1"/>
  <c r="T137" i="1"/>
  <c r="H59" i="19" s="1"/>
  <c r="P137" i="1"/>
  <c r="D59" i="19" s="1"/>
  <c r="Y137" i="1"/>
  <c r="M59" i="19" s="1"/>
  <c r="U137" i="1"/>
  <c r="I59" i="19" s="1"/>
  <c r="Q137" i="1"/>
  <c r="E59" i="19" s="1"/>
  <c r="Y135" i="1"/>
  <c r="M58" i="19" s="1"/>
  <c r="X135" i="1"/>
  <c r="L58" i="19" s="1"/>
  <c r="W135" i="1"/>
  <c r="K58" i="19" s="1"/>
  <c r="V135" i="1"/>
  <c r="J58" i="19" s="1"/>
  <c r="U135" i="1"/>
  <c r="I58" i="19" s="1"/>
  <c r="T135" i="1"/>
  <c r="H58" i="19" s="1"/>
  <c r="S135" i="1"/>
  <c r="G58" i="19" s="1"/>
  <c r="R135" i="1"/>
  <c r="F58" i="19" s="1"/>
  <c r="Q135" i="1"/>
  <c r="E58" i="19" s="1"/>
  <c r="P135" i="1"/>
  <c r="D58" i="19" s="1"/>
  <c r="O135" i="1"/>
  <c r="C58" i="19" s="1"/>
  <c r="N135" i="1"/>
  <c r="B58" i="19" s="1"/>
  <c r="V133" i="1"/>
  <c r="J57" i="19" s="1"/>
  <c r="R133" i="1"/>
  <c r="F57" i="19" s="1"/>
  <c r="N133" i="1"/>
  <c r="B57" i="19" s="1"/>
  <c r="Y133" i="1"/>
  <c r="M57" i="19" s="1"/>
  <c r="U133" i="1"/>
  <c r="I57" i="19" s="1"/>
  <c r="Q133" i="1"/>
  <c r="E57" i="19" s="1"/>
  <c r="X133" i="1"/>
  <c r="L57" i="19" s="1"/>
  <c r="T133" i="1"/>
  <c r="H57" i="19" s="1"/>
  <c r="P133" i="1"/>
  <c r="D57" i="19" s="1"/>
  <c r="W133" i="1"/>
  <c r="K57" i="19" s="1"/>
  <c r="S133" i="1"/>
  <c r="G57" i="19" s="1"/>
  <c r="O133" i="1"/>
  <c r="C57" i="19" s="1"/>
  <c r="H35" i="19"/>
  <c r="M63" i="19"/>
  <c r="I63" i="19"/>
  <c r="E63" i="19"/>
  <c r="G63" i="19"/>
  <c r="F63" i="19"/>
  <c r="L63" i="19"/>
  <c r="H63" i="19"/>
  <c r="D63" i="19"/>
  <c r="K63" i="19"/>
  <c r="C63" i="19"/>
  <c r="J63" i="19"/>
  <c r="B63" i="19"/>
  <c r="M64" i="19"/>
  <c r="I64" i="19"/>
  <c r="E64" i="19"/>
  <c r="K64" i="19"/>
  <c r="C64" i="19"/>
  <c r="J64" i="19"/>
  <c r="B64" i="19"/>
  <c r="L64" i="19"/>
  <c r="H64" i="19"/>
  <c r="D64" i="19"/>
  <c r="G64" i="19"/>
  <c r="F64" i="19"/>
  <c r="I30" i="19"/>
  <c r="M62" i="19"/>
  <c r="I62" i="19"/>
  <c r="E62" i="19"/>
  <c r="G62" i="19"/>
  <c r="J62" i="19"/>
  <c r="L62" i="19"/>
  <c r="H62" i="19"/>
  <c r="D62" i="19"/>
  <c r="K62" i="19"/>
  <c r="C62" i="19"/>
  <c r="F62" i="19"/>
  <c r="B62" i="19"/>
  <c r="I29" i="19"/>
  <c r="M61" i="19"/>
  <c r="I61" i="19"/>
  <c r="E61" i="19"/>
  <c r="K61" i="19"/>
  <c r="C61" i="19"/>
  <c r="J61" i="19"/>
  <c r="B61" i="19"/>
  <c r="L61" i="19"/>
  <c r="H61" i="19"/>
  <c r="D61" i="19"/>
  <c r="G61" i="19"/>
  <c r="F61" i="19"/>
  <c r="M65" i="19"/>
  <c r="I65" i="19"/>
  <c r="E65" i="19"/>
  <c r="G65" i="19"/>
  <c r="F65" i="19"/>
  <c r="L65" i="19"/>
  <c r="H65" i="19"/>
  <c r="D65" i="19"/>
  <c r="K65" i="19"/>
  <c r="C65" i="19"/>
  <c r="J65" i="19"/>
  <c r="B65" i="19"/>
  <c r="I26" i="19"/>
  <c r="F50" i="21"/>
  <c r="I33" i="19"/>
  <c r="I32" i="19"/>
  <c r="I31" i="19"/>
  <c r="I28" i="19"/>
  <c r="I27" i="19"/>
  <c r="I25" i="19"/>
  <c r="L224" i="1"/>
  <c r="J160" i="1"/>
  <c r="N270" i="1"/>
  <c r="D10" i="21" l="1"/>
  <c r="E31" i="8"/>
  <c r="G36" i="20"/>
  <c r="E28" i="8" l="1"/>
  <c r="K11" i="19" l="1"/>
  <c r="E11" i="21"/>
  <c r="E20" i="5" l="1"/>
  <c r="E21" i="5"/>
  <c r="K16" i="19"/>
  <c r="K15" i="19"/>
  <c r="T83" i="1"/>
  <c r="T85" i="1" s="1"/>
  <c r="S86" i="1"/>
  <c r="K14" i="19" l="1"/>
  <c r="E14" i="21"/>
  <c r="K13" i="19"/>
  <c r="E13" i="21"/>
  <c r="K12" i="19"/>
  <c r="E12" i="21"/>
  <c r="K10" i="19"/>
  <c r="E10" i="21"/>
  <c r="O86" i="1"/>
  <c r="T86" i="1"/>
  <c r="S85" i="1"/>
  <c r="R86" i="1"/>
  <c r="Q86" i="1"/>
  <c r="P86" i="1"/>
  <c r="N86" i="1"/>
  <c r="O59" i="1" l="1"/>
  <c r="Y60" i="1"/>
  <c r="U60" i="1"/>
  <c r="T60" i="1"/>
  <c r="S60" i="1"/>
  <c r="R60" i="1"/>
  <c r="Q60" i="1"/>
  <c r="P60" i="1"/>
  <c r="Q63" i="1" l="1"/>
  <c r="U63" i="1"/>
  <c r="R63" i="1"/>
  <c r="Y63" i="1"/>
  <c r="S63" i="1"/>
  <c r="P63" i="1"/>
  <c r="T63" i="1"/>
  <c r="X60" i="1"/>
  <c r="O60" i="1"/>
  <c r="W60" i="1"/>
  <c r="V60" i="1"/>
  <c r="L29" i="1"/>
  <c r="L31" i="1"/>
  <c r="E16" i="18"/>
  <c r="K203" i="1"/>
  <c r="K202" i="1"/>
  <c r="K201" i="1"/>
  <c r="K200" i="1"/>
  <c r="X31" i="1" l="1"/>
  <c r="P31" i="1"/>
  <c r="S31" i="1"/>
  <c r="V31" i="1"/>
  <c r="O31" i="1"/>
  <c r="U31" i="1"/>
  <c r="N31" i="1"/>
  <c r="Q31" i="1"/>
  <c r="Q29" i="1"/>
  <c r="Q50" i="1" s="1"/>
  <c r="X29" i="1"/>
  <c r="P29" i="1"/>
  <c r="P50" i="1" s="1"/>
  <c r="S29" i="1"/>
  <c r="S50" i="1" s="1"/>
  <c r="V29" i="1"/>
  <c r="O29" i="1"/>
  <c r="O50" i="1" s="1"/>
  <c r="U29" i="1"/>
  <c r="N29" i="1"/>
  <c r="O63" i="1"/>
  <c r="V63" i="1"/>
  <c r="X63" i="1"/>
  <c r="N63" i="1"/>
  <c r="N93" i="1" s="1"/>
  <c r="W63" i="1"/>
  <c r="G77" i="19"/>
  <c r="M203" i="1"/>
  <c r="G76" i="19"/>
  <c r="M202" i="1"/>
  <c r="G75" i="19"/>
  <c r="M201" i="1"/>
  <c r="N201" i="1" s="1"/>
  <c r="B85" i="19" s="1"/>
  <c r="G74" i="19"/>
  <c r="M200" i="1"/>
  <c r="G73" i="19"/>
  <c r="Y31" i="1"/>
  <c r="E19" i="18"/>
  <c r="E18" i="18"/>
  <c r="T29" i="1"/>
  <c r="W29" i="1"/>
  <c r="Y29" i="1"/>
  <c r="Y50" i="1" s="1"/>
  <c r="R29" i="1"/>
  <c r="R50" i="1" s="1"/>
  <c r="R31" i="1"/>
  <c r="W31" i="1"/>
  <c r="T31" i="1"/>
  <c r="O203" i="1" l="1"/>
  <c r="C87" i="19" s="1"/>
  <c r="Y203" i="1"/>
  <c r="M87" i="19" s="1"/>
  <c r="Y202" i="1"/>
  <c r="M86" i="19" s="1"/>
  <c r="O202" i="1"/>
  <c r="C86" i="19" s="1"/>
  <c r="R201" i="1"/>
  <c r="F85" i="19" s="1"/>
  <c r="O201" i="1"/>
  <c r="C85" i="19" s="1"/>
  <c r="Y201" i="1"/>
  <c r="M85" i="19" s="1"/>
  <c r="Y200" i="1"/>
  <c r="M84" i="19" s="1"/>
  <c r="O200" i="1"/>
  <c r="O52" i="1"/>
  <c r="O93" i="1" s="1"/>
  <c r="O51" i="1"/>
  <c r="S52" i="1"/>
  <c r="S93" i="1" s="1"/>
  <c r="S51" i="1"/>
  <c r="H35" i="18"/>
  <c r="T50" i="1"/>
  <c r="R52" i="1"/>
  <c r="R93" i="1" s="1"/>
  <c r="R51" i="1"/>
  <c r="L35" i="18"/>
  <c r="X50" i="1"/>
  <c r="I35" i="18"/>
  <c r="U50" i="1"/>
  <c r="Y52" i="1"/>
  <c r="Y51" i="1"/>
  <c r="P52" i="1"/>
  <c r="P93" i="1" s="1"/>
  <c r="P51" i="1"/>
  <c r="J35" i="18"/>
  <c r="V50" i="1"/>
  <c r="Q52" i="1"/>
  <c r="Q93" i="1" s="1"/>
  <c r="Q51" i="1"/>
  <c r="K35" i="18"/>
  <c r="W50" i="1"/>
  <c r="W200" i="1"/>
  <c r="K84" i="19" s="1"/>
  <c r="V200" i="1"/>
  <c r="J84" i="19" s="1"/>
  <c r="T200" i="1"/>
  <c r="H84" i="19" s="1"/>
  <c r="P200" i="1"/>
  <c r="R200" i="1"/>
  <c r="F84" i="19" s="1"/>
  <c r="S200" i="1"/>
  <c r="G84" i="19" s="1"/>
  <c r="U200" i="1"/>
  <c r="I84" i="19" s="1"/>
  <c r="N200" i="1"/>
  <c r="B84" i="19" s="1"/>
  <c r="Q200" i="1"/>
  <c r="E84" i="19" s="1"/>
  <c r="V201" i="1"/>
  <c r="J85" i="19" s="1"/>
  <c r="I77" i="19"/>
  <c r="L88" i="19"/>
  <c r="H88" i="19"/>
  <c r="D88" i="19"/>
  <c r="K88" i="19"/>
  <c r="G88" i="19"/>
  <c r="C88" i="19"/>
  <c r="J88" i="19"/>
  <c r="F88" i="19"/>
  <c r="B88" i="19"/>
  <c r="M88" i="19"/>
  <c r="I88" i="19"/>
  <c r="E88" i="19"/>
  <c r="I76" i="19"/>
  <c r="X203" i="1"/>
  <c r="L87" i="19" s="1"/>
  <c r="T203" i="1"/>
  <c r="H87" i="19" s="1"/>
  <c r="P203" i="1"/>
  <c r="D87" i="19" s="1"/>
  <c r="W203" i="1"/>
  <c r="K87" i="19" s="1"/>
  <c r="S203" i="1"/>
  <c r="G87" i="19" s="1"/>
  <c r="V203" i="1"/>
  <c r="J87" i="19" s="1"/>
  <c r="R203" i="1"/>
  <c r="F87" i="19" s="1"/>
  <c r="N203" i="1"/>
  <c r="B87" i="19" s="1"/>
  <c r="U203" i="1"/>
  <c r="I87" i="19" s="1"/>
  <c r="Q203" i="1"/>
  <c r="E87" i="19" s="1"/>
  <c r="I75" i="19"/>
  <c r="X202" i="1"/>
  <c r="L86" i="19" s="1"/>
  <c r="T202" i="1"/>
  <c r="H86" i="19" s="1"/>
  <c r="P202" i="1"/>
  <c r="D86" i="19" s="1"/>
  <c r="V202" i="1"/>
  <c r="J86" i="19" s="1"/>
  <c r="N202" i="1"/>
  <c r="B86" i="19" s="1"/>
  <c r="U202" i="1"/>
  <c r="I86" i="19" s="1"/>
  <c r="W202" i="1"/>
  <c r="K86" i="19" s="1"/>
  <c r="S202" i="1"/>
  <c r="G86" i="19" s="1"/>
  <c r="R202" i="1"/>
  <c r="F86" i="19" s="1"/>
  <c r="Q202" i="1"/>
  <c r="E86" i="19" s="1"/>
  <c r="X201" i="1"/>
  <c r="L85" i="19" s="1"/>
  <c r="I74" i="19"/>
  <c r="W201" i="1"/>
  <c r="K85" i="19" s="1"/>
  <c r="Q201" i="1"/>
  <c r="E85" i="19" s="1"/>
  <c r="U201" i="1"/>
  <c r="I85" i="19" s="1"/>
  <c r="P201" i="1"/>
  <c r="D85" i="19" s="1"/>
  <c r="T201" i="1"/>
  <c r="H85" i="19" s="1"/>
  <c r="S201" i="1"/>
  <c r="G85" i="19" s="1"/>
  <c r="X200" i="1"/>
  <c r="I73" i="19"/>
  <c r="F36" i="18"/>
  <c r="E35" i="18"/>
  <c r="I36" i="18"/>
  <c r="G36" i="18"/>
  <c r="F35" i="18"/>
  <c r="C35" i="18"/>
  <c r="E36" i="18"/>
  <c r="C36" i="18"/>
  <c r="L36" i="18"/>
  <c r="B35" i="18"/>
  <c r="G35" i="18"/>
  <c r="H36" i="18"/>
  <c r="J36" i="18"/>
  <c r="D36" i="18"/>
  <c r="M35" i="18"/>
  <c r="D35" i="18"/>
  <c r="K36" i="18"/>
  <c r="B36" i="18"/>
  <c r="M36" i="18"/>
  <c r="M29" i="1"/>
  <c r="F18" i="18" s="1"/>
  <c r="U52" i="1" l="1"/>
  <c r="U51" i="1"/>
  <c r="W52" i="1"/>
  <c r="W51" i="1"/>
  <c r="V52" i="1"/>
  <c r="V51" i="1"/>
  <c r="X52" i="1"/>
  <c r="X51" i="1"/>
  <c r="T52" i="1"/>
  <c r="T93" i="1" s="1"/>
  <c r="T51" i="1"/>
  <c r="D84" i="19"/>
  <c r="C84" i="19"/>
  <c r="L84" i="19"/>
  <c r="K199" i="1"/>
  <c r="G72" i="19" s="1"/>
  <c r="G78" i="19" s="1"/>
  <c r="I10" i="19" l="1"/>
  <c r="G10" i="19"/>
  <c r="M199" i="1"/>
  <c r="E17" i="18"/>
  <c r="L33" i="1"/>
  <c r="P33" i="1" s="1"/>
  <c r="P62" i="1" s="1"/>
  <c r="Y199" i="1" l="1"/>
  <c r="Y234" i="1" s="1"/>
  <c r="O199" i="1"/>
  <c r="O234" i="1" s="1"/>
  <c r="X33" i="1"/>
  <c r="X62" i="1" s="1"/>
  <c r="Q33" i="1"/>
  <c r="Q62" i="1" s="1"/>
  <c r="U33" i="1"/>
  <c r="U62" i="1" s="1"/>
  <c r="S33" i="1"/>
  <c r="S62" i="1" s="1"/>
  <c r="S92" i="1" s="1"/>
  <c r="V33" i="1"/>
  <c r="V62" i="1" s="1"/>
  <c r="O33" i="1"/>
  <c r="N33" i="1"/>
  <c r="E20" i="18"/>
  <c r="N199" i="1"/>
  <c r="N234" i="1" s="1"/>
  <c r="I72" i="19"/>
  <c r="I78" i="19" s="1"/>
  <c r="R199" i="1"/>
  <c r="R234" i="1" s="1"/>
  <c r="X199" i="1"/>
  <c r="X234" i="1" s="1"/>
  <c r="U199" i="1"/>
  <c r="U234" i="1" s="1"/>
  <c r="P199" i="1"/>
  <c r="P234" i="1" s="1"/>
  <c r="Q199" i="1"/>
  <c r="Q234" i="1" s="1"/>
  <c r="W199" i="1"/>
  <c r="W234" i="1" s="1"/>
  <c r="S199" i="1"/>
  <c r="S234" i="1" s="1"/>
  <c r="T199" i="1"/>
  <c r="T234" i="1" s="1"/>
  <c r="V199" i="1"/>
  <c r="V234" i="1" s="1"/>
  <c r="H34" i="18"/>
  <c r="G34" i="18"/>
  <c r="E34" i="18"/>
  <c r="I34" i="18"/>
  <c r="B34" i="18"/>
  <c r="D34" i="18"/>
  <c r="F34" i="18"/>
  <c r="C34" i="18"/>
  <c r="O61" i="1" l="1"/>
  <c r="O62" i="1"/>
  <c r="N61" i="1"/>
  <c r="N62" i="1"/>
  <c r="M234" i="1"/>
  <c r="B83" i="19"/>
  <c r="B89" i="19" s="1"/>
  <c r="C14" i="20"/>
  <c r="C46" i="18"/>
  <c r="J14" i="20"/>
  <c r="I83" i="19"/>
  <c r="I89" i="19" s="1"/>
  <c r="N14" i="20"/>
  <c r="M83" i="19"/>
  <c r="M89" i="19" s="1"/>
  <c r="D14" i="20"/>
  <c r="C83" i="19"/>
  <c r="C89" i="19" s="1"/>
  <c r="K14" i="20"/>
  <c r="J83" i="19"/>
  <c r="J89" i="19" s="1"/>
  <c r="F14" i="20"/>
  <c r="E83" i="19"/>
  <c r="E89" i="19" s="1"/>
  <c r="H14" i="20"/>
  <c r="G83" i="19"/>
  <c r="G89" i="19" s="1"/>
  <c r="G14" i="20"/>
  <c r="F83" i="19"/>
  <c r="F89" i="19" s="1"/>
  <c r="L14" i="20"/>
  <c r="K83" i="19"/>
  <c r="K89" i="19" s="1"/>
  <c r="I14" i="20"/>
  <c r="H83" i="19"/>
  <c r="H89" i="19" s="1"/>
  <c r="E14" i="20"/>
  <c r="D83" i="19"/>
  <c r="D89" i="19" s="1"/>
  <c r="M14" i="20"/>
  <c r="L83" i="19"/>
  <c r="L89" i="19" s="1"/>
  <c r="B37" i="18"/>
  <c r="C37" i="18"/>
  <c r="J34" i="18"/>
  <c r="M34" i="18"/>
  <c r="K34" i="18"/>
  <c r="L34" i="18"/>
  <c r="M31" i="1"/>
  <c r="F19" i="18" s="1"/>
  <c r="M25" i="1"/>
  <c r="F15" i="18" s="1"/>
  <c r="F21" i="5"/>
  <c r="F20" i="5"/>
  <c r="E32" i="5"/>
  <c r="E31" i="5"/>
  <c r="E30" i="5"/>
  <c r="E29" i="5"/>
  <c r="E28" i="5"/>
  <c r="E27" i="5"/>
  <c r="E26" i="5"/>
  <c r="E25" i="5"/>
  <c r="E24" i="5"/>
  <c r="E23" i="5"/>
  <c r="E22" i="5"/>
  <c r="F22" i="5" s="1"/>
  <c r="B46" i="18" l="1"/>
  <c r="N240" i="1"/>
  <c r="F26" i="5"/>
  <c r="F25" i="5"/>
  <c r="F29" i="5"/>
  <c r="F30" i="5"/>
  <c r="F28" i="5"/>
  <c r="F31" i="5"/>
  <c r="F32" i="5"/>
  <c r="F27" i="5"/>
  <c r="F24" i="5"/>
  <c r="F23" i="5"/>
  <c r="E19" i="5"/>
  <c r="C21" i="20" l="1"/>
  <c r="F19" i="5"/>
  <c r="E44" i="5"/>
  <c r="G23" i="19"/>
  <c r="G11" i="19" l="1"/>
  <c r="N221" i="1"/>
  <c r="N220" i="1"/>
  <c r="H47" i="21" s="1"/>
  <c r="N219" i="1"/>
  <c r="H46" i="21" s="1"/>
  <c r="N218" i="1"/>
  <c r="H45" i="21" s="1"/>
  <c r="N217" i="1"/>
  <c r="N216" i="1"/>
  <c r="H43" i="21" s="1"/>
  <c r="N215" i="1"/>
  <c r="H42" i="21" s="1"/>
  <c r="V129" i="1" l="1"/>
  <c r="J55" i="19" s="1"/>
  <c r="W129" i="1"/>
  <c r="K55" i="19" s="1"/>
  <c r="X129" i="1"/>
  <c r="L55" i="19" s="1"/>
  <c r="P129" i="1"/>
  <c r="D55" i="19" s="1"/>
  <c r="Y129" i="1"/>
  <c r="M55" i="19" s="1"/>
  <c r="U129" i="1"/>
  <c r="I55" i="19" s="1"/>
  <c r="Q129" i="1"/>
  <c r="E55" i="19" s="1"/>
  <c r="R129" i="1"/>
  <c r="F55" i="19" s="1"/>
  <c r="N129" i="1"/>
  <c r="B55" i="19" s="1"/>
  <c r="S129" i="1"/>
  <c r="G55" i="19" s="1"/>
  <c r="O129" i="1"/>
  <c r="C55" i="19" s="1"/>
  <c r="T129" i="1"/>
  <c r="H55" i="19" s="1"/>
  <c r="H48" i="21"/>
  <c r="H44" i="21"/>
  <c r="I23" i="19"/>
  <c r="F19" i="21"/>
  <c r="N222" i="1"/>
  <c r="H49" i="21" s="1"/>
  <c r="H41" i="21"/>
  <c r="H40" i="21"/>
  <c r="Y105" i="1" l="1"/>
  <c r="U105" i="1"/>
  <c r="Q105" i="1"/>
  <c r="X105" i="1"/>
  <c r="T105" i="1"/>
  <c r="P105" i="1"/>
  <c r="W105" i="1"/>
  <c r="S105" i="1"/>
  <c r="O105" i="1"/>
  <c r="V105" i="1"/>
  <c r="R105" i="1"/>
  <c r="N105" i="1"/>
  <c r="I11" i="19"/>
  <c r="M168" i="1"/>
  <c r="H18" i="21" s="1"/>
  <c r="F18" i="21"/>
  <c r="M167" i="1"/>
  <c r="H17" i="21" s="1"/>
  <c r="F17" i="21"/>
  <c r="F10" i="21"/>
  <c r="M166" i="1"/>
  <c r="H16" i="21" s="1"/>
  <c r="F16" i="21"/>
  <c r="M165" i="1"/>
  <c r="H15" i="21" s="1"/>
  <c r="F15" i="21"/>
  <c r="H14" i="21"/>
  <c r="F14" i="21"/>
  <c r="F13" i="21"/>
  <c r="M162" i="1"/>
  <c r="H12" i="21" s="1"/>
  <c r="F12" i="21"/>
  <c r="M161" i="1"/>
  <c r="H11" i="21" s="1"/>
  <c r="F11" i="21"/>
  <c r="H50" i="21"/>
  <c r="M169" i="1"/>
  <c r="H19" i="21" s="1"/>
  <c r="K185" i="1"/>
  <c r="N224" i="1"/>
  <c r="G24" i="19"/>
  <c r="G22" i="19"/>
  <c r="G21" i="19"/>
  <c r="M43" i="19" l="1"/>
  <c r="B43" i="19"/>
  <c r="C43" i="19"/>
  <c r="F43" i="19"/>
  <c r="L43" i="19"/>
  <c r="K43" i="19"/>
  <c r="G43" i="19"/>
  <c r="E43" i="19"/>
  <c r="D43" i="19"/>
  <c r="J43" i="19"/>
  <c r="I43" i="19"/>
  <c r="H43" i="19"/>
  <c r="F34" i="21"/>
  <c r="M185" i="1"/>
  <c r="N264" i="1" s="1"/>
  <c r="N266" i="1" s="1"/>
  <c r="G20" i="19"/>
  <c r="I41" i="1"/>
  <c r="B124" i="12"/>
  <c r="B123" i="12"/>
  <c r="B122" i="12"/>
  <c r="B121" i="12"/>
  <c r="B116" i="12"/>
  <c r="B115" i="12"/>
  <c r="B114" i="12"/>
  <c r="X131" i="1" l="1"/>
  <c r="L56" i="19" s="1"/>
  <c r="V131" i="1"/>
  <c r="J56" i="19" s="1"/>
  <c r="T131" i="1"/>
  <c r="H56" i="19" s="1"/>
  <c r="R131" i="1"/>
  <c r="F56" i="19" s="1"/>
  <c r="P131" i="1"/>
  <c r="D56" i="19" s="1"/>
  <c r="N131" i="1"/>
  <c r="B56" i="19" s="1"/>
  <c r="Y131" i="1"/>
  <c r="M56" i="19" s="1"/>
  <c r="W131" i="1"/>
  <c r="K56" i="19" s="1"/>
  <c r="U131" i="1"/>
  <c r="I56" i="19" s="1"/>
  <c r="S131" i="1"/>
  <c r="G56" i="19" s="1"/>
  <c r="Q131" i="1"/>
  <c r="E56" i="19" s="1"/>
  <c r="O131" i="1"/>
  <c r="C56" i="19" s="1"/>
  <c r="Y127" i="1"/>
  <c r="M54" i="19" s="1"/>
  <c r="X127" i="1"/>
  <c r="L54" i="19" s="1"/>
  <c r="W127" i="1"/>
  <c r="K54" i="19" s="1"/>
  <c r="V127" i="1"/>
  <c r="J54" i="19" s="1"/>
  <c r="U127" i="1"/>
  <c r="I54" i="19" s="1"/>
  <c r="T127" i="1"/>
  <c r="H54" i="19" s="1"/>
  <c r="S127" i="1"/>
  <c r="G54" i="19" s="1"/>
  <c r="R127" i="1"/>
  <c r="F54" i="19" s="1"/>
  <c r="Q127" i="1"/>
  <c r="E54" i="19" s="1"/>
  <c r="P127" i="1"/>
  <c r="D54" i="19" s="1"/>
  <c r="O127" i="1"/>
  <c r="C54" i="19" s="1"/>
  <c r="N127" i="1"/>
  <c r="B54" i="19" s="1"/>
  <c r="V125" i="1"/>
  <c r="J53" i="19" s="1"/>
  <c r="R125" i="1"/>
  <c r="F53" i="19" s="1"/>
  <c r="N125" i="1"/>
  <c r="B53" i="19" s="1"/>
  <c r="Y125" i="1"/>
  <c r="M53" i="19" s="1"/>
  <c r="U125" i="1"/>
  <c r="I53" i="19" s="1"/>
  <c r="Q125" i="1"/>
  <c r="E53" i="19" s="1"/>
  <c r="X125" i="1"/>
  <c r="L53" i="19" s="1"/>
  <c r="T125" i="1"/>
  <c r="H53" i="19" s="1"/>
  <c r="P125" i="1"/>
  <c r="D53" i="19" s="1"/>
  <c r="W125" i="1"/>
  <c r="K53" i="19" s="1"/>
  <c r="S125" i="1"/>
  <c r="G53" i="19" s="1"/>
  <c r="O125" i="1"/>
  <c r="C53" i="19" s="1"/>
  <c r="Y123" i="1"/>
  <c r="M52" i="19" s="1"/>
  <c r="W123" i="1"/>
  <c r="K52" i="19" s="1"/>
  <c r="U123" i="1"/>
  <c r="I52" i="19" s="1"/>
  <c r="S123" i="1"/>
  <c r="G52" i="19" s="1"/>
  <c r="Q123" i="1"/>
  <c r="E52" i="19" s="1"/>
  <c r="O123" i="1"/>
  <c r="C52" i="19" s="1"/>
  <c r="X123" i="1"/>
  <c r="L52" i="19" s="1"/>
  <c r="V123" i="1"/>
  <c r="J52" i="19" s="1"/>
  <c r="T123" i="1"/>
  <c r="H52" i="19" s="1"/>
  <c r="R123" i="1"/>
  <c r="F52" i="19" s="1"/>
  <c r="P123" i="1"/>
  <c r="D52" i="19" s="1"/>
  <c r="N123" i="1"/>
  <c r="B52" i="19" s="1"/>
  <c r="I24" i="19"/>
  <c r="I22" i="19"/>
  <c r="I21" i="19"/>
  <c r="E29" i="8"/>
  <c r="E32" i="8" s="1"/>
  <c r="G59" i="8" s="1"/>
  <c r="G30" i="20"/>
  <c r="I20" i="19"/>
  <c r="E23" i="8"/>
  <c r="B25" i="18"/>
  <c r="A24" i="12"/>
  <c r="B24" i="12" s="1"/>
  <c r="A27" i="12"/>
  <c r="B27" i="12"/>
  <c r="C27" i="12" s="1"/>
  <c r="A28" i="12"/>
  <c r="B28" i="12"/>
  <c r="D12" i="12"/>
  <c r="D13" i="12" s="1"/>
  <c r="C12" i="12"/>
  <c r="C13" i="12" s="1"/>
  <c r="B13" i="12"/>
  <c r="M12" i="12"/>
  <c r="M13" i="12" s="1"/>
  <c r="L12" i="12"/>
  <c r="L13" i="12" s="1"/>
  <c r="K12" i="12"/>
  <c r="K13" i="12" s="1"/>
  <c r="J12" i="12"/>
  <c r="J13" i="12" s="1"/>
  <c r="I12" i="12"/>
  <c r="I13" i="12" s="1"/>
  <c r="H12" i="12"/>
  <c r="H13" i="12" s="1"/>
  <c r="G12" i="12"/>
  <c r="G13" i="12" s="1"/>
  <c r="F12" i="12"/>
  <c r="F13" i="12" s="1"/>
  <c r="E12" i="12"/>
  <c r="E13" i="12" s="1"/>
  <c r="D10" i="12"/>
  <c r="D11" i="12" s="1"/>
  <c r="C11" i="12"/>
  <c r="B11" i="12"/>
  <c r="M10" i="12"/>
  <c r="M11" i="12" s="1"/>
  <c r="L10" i="12"/>
  <c r="L11" i="12" s="1"/>
  <c r="K10" i="12"/>
  <c r="K11" i="12" s="1"/>
  <c r="J10" i="12"/>
  <c r="J11" i="12" s="1"/>
  <c r="I10" i="12"/>
  <c r="I11" i="12" s="1"/>
  <c r="H10" i="12"/>
  <c r="H11" i="12" s="1"/>
  <c r="G10" i="12"/>
  <c r="G11" i="12" s="1"/>
  <c r="F10" i="12"/>
  <c r="F11" i="12" s="1"/>
  <c r="E10" i="12"/>
  <c r="E11" i="12" s="1"/>
  <c r="D8" i="12"/>
  <c r="C9" i="12"/>
  <c r="B9" i="12"/>
  <c r="M8" i="12"/>
  <c r="L8" i="12"/>
  <c r="K9" i="12"/>
  <c r="J8" i="12"/>
  <c r="I8" i="12"/>
  <c r="H8" i="12"/>
  <c r="G8" i="12"/>
  <c r="F8" i="12"/>
  <c r="E9" i="12"/>
  <c r="A5" i="12"/>
  <c r="Y33" i="1"/>
  <c r="L35" i="1"/>
  <c r="Y61" i="1" l="1"/>
  <c r="Y62" i="1"/>
  <c r="D27" i="12"/>
  <c r="C28" i="12"/>
  <c r="C29" i="12" s="1"/>
  <c r="E27" i="12"/>
  <c r="E28" i="12" s="1"/>
  <c r="D28" i="12"/>
  <c r="B29" i="12"/>
  <c r="O23" i="1"/>
  <c r="A29" i="12"/>
  <c r="N23" i="1"/>
  <c r="C24" i="12"/>
  <c r="B25" i="12"/>
  <c r="B26" i="12" s="1"/>
  <c r="A25" i="12"/>
  <c r="A26" i="12" s="1"/>
  <c r="X35" i="1"/>
  <c r="O35" i="1"/>
  <c r="O85" i="1" s="1"/>
  <c r="V35" i="1"/>
  <c r="U35" i="1"/>
  <c r="Q35" i="1"/>
  <c r="Q85" i="1" s="1"/>
  <c r="Q92" i="1" s="1"/>
  <c r="N35" i="1"/>
  <c r="N85" i="1" s="1"/>
  <c r="P35" i="1"/>
  <c r="P85" i="1" s="1"/>
  <c r="S35" i="1"/>
  <c r="A13" i="12"/>
  <c r="A11" i="12"/>
  <c r="F9" i="12"/>
  <c r="J9" i="12"/>
  <c r="G9" i="12"/>
  <c r="H9" i="12"/>
  <c r="L9" i="12"/>
  <c r="D9" i="12"/>
  <c r="I9" i="12"/>
  <c r="M9" i="12"/>
  <c r="E21" i="18"/>
  <c r="G32" i="20"/>
  <c r="M37" i="18"/>
  <c r="R33" i="1"/>
  <c r="R62" i="1" s="1"/>
  <c r="P61" i="1"/>
  <c r="T33" i="1"/>
  <c r="T62" i="1" s="1"/>
  <c r="X61" i="1"/>
  <c r="S61" i="1"/>
  <c r="W33" i="1"/>
  <c r="W62" i="1" s="1"/>
  <c r="U61" i="1"/>
  <c r="L17" i="1"/>
  <c r="L19" i="1"/>
  <c r="L15" i="1"/>
  <c r="Q15" i="1" l="1"/>
  <c r="P15" i="1"/>
  <c r="O15" i="1"/>
  <c r="P23" i="1"/>
  <c r="F27" i="12"/>
  <c r="G27" i="12" s="1"/>
  <c r="G28" i="12" s="1"/>
  <c r="G29" i="12" s="1"/>
  <c r="E29" i="12"/>
  <c r="R23" i="1"/>
  <c r="D29" i="12"/>
  <c r="Q23" i="1"/>
  <c r="D24" i="12"/>
  <c r="C25" i="12"/>
  <c r="C26" i="12" s="1"/>
  <c r="P19" i="1"/>
  <c r="P75" i="1" s="1"/>
  <c r="U19" i="1"/>
  <c r="U75" i="1" s="1"/>
  <c r="N19" i="1"/>
  <c r="N75" i="1" s="1"/>
  <c r="S19" i="1"/>
  <c r="X19" i="1"/>
  <c r="X75" i="1" s="1"/>
  <c r="V19" i="1"/>
  <c r="V75" i="1" s="1"/>
  <c r="V17" i="1"/>
  <c r="V71" i="1" s="1"/>
  <c r="P17" i="1"/>
  <c r="P71" i="1" s="1"/>
  <c r="U17" i="1"/>
  <c r="U71" i="1" s="1"/>
  <c r="X17" i="1"/>
  <c r="X71" i="1" s="1"/>
  <c r="S17" i="1"/>
  <c r="N17" i="1"/>
  <c r="N71" i="1" s="1"/>
  <c r="P68" i="1"/>
  <c r="P92" i="1" s="1"/>
  <c r="N15" i="1"/>
  <c r="N68" i="1" s="1"/>
  <c r="N92" i="1" s="1"/>
  <c r="V15" i="1"/>
  <c r="V68" i="1" s="1"/>
  <c r="U15" i="1"/>
  <c r="U68" i="1" s="1"/>
  <c r="X15" i="1"/>
  <c r="X67" i="1" s="1"/>
  <c r="S15" i="1"/>
  <c r="A9" i="12"/>
  <c r="R15" i="1"/>
  <c r="O68" i="1"/>
  <c r="O92" i="1" s="1"/>
  <c r="C45" i="18" s="1"/>
  <c r="W15" i="1"/>
  <c r="E12" i="18"/>
  <c r="T19" i="1"/>
  <c r="T75" i="1" s="1"/>
  <c r="R19" i="1"/>
  <c r="R75" i="1" s="1"/>
  <c r="Y19" i="1"/>
  <c r="Y75" i="1" s="1"/>
  <c r="W19" i="1"/>
  <c r="W75" i="1" s="1"/>
  <c r="S75" i="1"/>
  <c r="Q19" i="1"/>
  <c r="Q75" i="1" s="1"/>
  <c r="O19" i="1"/>
  <c r="O75" i="1" s="1"/>
  <c r="Y15" i="1"/>
  <c r="T15" i="1"/>
  <c r="T68" i="1" s="1"/>
  <c r="T92" i="1" s="1"/>
  <c r="E11" i="18"/>
  <c r="T17" i="1"/>
  <c r="T71" i="1" s="1"/>
  <c r="R17" i="1"/>
  <c r="R71" i="1" s="1"/>
  <c r="Y17" i="1"/>
  <c r="Y71" i="1" s="1"/>
  <c r="W17" i="1"/>
  <c r="W71" i="1" s="1"/>
  <c r="Q17" i="1"/>
  <c r="Q71" i="1" s="1"/>
  <c r="O17" i="1"/>
  <c r="O71" i="1" s="1"/>
  <c r="F37" i="18"/>
  <c r="R61" i="1"/>
  <c r="E37" i="18"/>
  <c r="Q61" i="1"/>
  <c r="K37" i="18"/>
  <c r="W61" i="1"/>
  <c r="J37" i="18"/>
  <c r="V61" i="1"/>
  <c r="H37" i="18"/>
  <c r="T61" i="1"/>
  <c r="E10" i="18"/>
  <c r="D46" i="18"/>
  <c r="D37" i="18"/>
  <c r="I37" i="18"/>
  <c r="L37" i="18"/>
  <c r="G37" i="18"/>
  <c r="E46" i="18"/>
  <c r="M33" i="1"/>
  <c r="F20" i="18" s="1"/>
  <c r="F28" i="12"/>
  <c r="S23" i="1" s="1"/>
  <c r="G13" i="19"/>
  <c r="I10" i="5"/>
  <c r="J43" i="5" s="1"/>
  <c r="L37" i="1"/>
  <c r="L39" i="1"/>
  <c r="G14" i="19"/>
  <c r="G15" i="19"/>
  <c r="G16" i="19"/>
  <c r="E6" i="5"/>
  <c r="I6" i="5"/>
  <c r="E7" i="5"/>
  <c r="I7" i="5"/>
  <c r="C4" i="8"/>
  <c r="C5" i="8"/>
  <c r="C7" i="8"/>
  <c r="C6" i="8"/>
  <c r="H27" i="12" l="1"/>
  <c r="T23" i="1"/>
  <c r="D25" i="12"/>
  <c r="E24" i="12"/>
  <c r="N67" i="1"/>
  <c r="B45" i="18"/>
  <c r="N235" i="1"/>
  <c r="E22" i="18"/>
  <c r="V37" i="1"/>
  <c r="V89" i="1" s="1"/>
  <c r="P37" i="1"/>
  <c r="P89" i="1" s="1"/>
  <c r="U37" i="1"/>
  <c r="S37" i="1"/>
  <c r="S89" i="1" s="1"/>
  <c r="X37" i="1"/>
  <c r="X89" i="1" s="1"/>
  <c r="Q37" i="1"/>
  <c r="Q89" i="1" s="1"/>
  <c r="O37" i="1"/>
  <c r="O89" i="1" s="1"/>
  <c r="N37" i="1"/>
  <c r="N89" i="1" s="1"/>
  <c r="U39" i="1"/>
  <c r="N39" i="1"/>
  <c r="P39" i="1"/>
  <c r="O39" i="1"/>
  <c r="S39" i="1"/>
  <c r="X39" i="1"/>
  <c r="V39" i="1"/>
  <c r="Q39" i="1"/>
  <c r="G30" i="18"/>
  <c r="S71" i="1"/>
  <c r="G19" i="19"/>
  <c r="G18" i="19"/>
  <c r="G17" i="19"/>
  <c r="G12" i="19"/>
  <c r="H45" i="18"/>
  <c r="E31" i="18"/>
  <c r="E45" i="18"/>
  <c r="D45" i="18"/>
  <c r="M30" i="18"/>
  <c r="L30" i="18"/>
  <c r="K30" i="18"/>
  <c r="E23" i="18"/>
  <c r="O84" i="1"/>
  <c r="C38" i="18"/>
  <c r="Y81" i="1"/>
  <c r="M33" i="18"/>
  <c r="X81" i="1"/>
  <c r="L33" i="18"/>
  <c r="W81" i="1"/>
  <c r="K33" i="18"/>
  <c r="H31" i="18"/>
  <c r="L31" i="18"/>
  <c r="C31" i="18"/>
  <c r="F31" i="18"/>
  <c r="J31" i="18"/>
  <c r="I31" i="18"/>
  <c r="G31" i="18"/>
  <c r="B31" i="18"/>
  <c r="M31" i="18"/>
  <c r="D31" i="18"/>
  <c r="K31" i="18"/>
  <c r="B30" i="18"/>
  <c r="D30" i="18"/>
  <c r="E30" i="18"/>
  <c r="J30" i="18"/>
  <c r="C30" i="18"/>
  <c r="F30" i="18"/>
  <c r="H30" i="18"/>
  <c r="I30" i="18"/>
  <c r="S240" i="1"/>
  <c r="H21" i="20" s="1"/>
  <c r="G46" i="18"/>
  <c r="L29" i="18"/>
  <c r="B29" i="18"/>
  <c r="F18" i="5"/>
  <c r="F44" i="5" s="1"/>
  <c r="G45" i="18"/>
  <c r="Q240" i="1"/>
  <c r="F21" i="20" s="1"/>
  <c r="P240" i="1"/>
  <c r="E21" i="20" s="1"/>
  <c r="I27" i="12"/>
  <c r="H28" i="12"/>
  <c r="F29" i="12"/>
  <c r="R37" i="1"/>
  <c r="R89" i="1" s="1"/>
  <c r="T37" i="1"/>
  <c r="T89" i="1" s="1"/>
  <c r="W35" i="1"/>
  <c r="Y35" i="1"/>
  <c r="W39" i="1"/>
  <c r="W37" i="1"/>
  <c r="W89" i="1" s="1"/>
  <c r="Y39" i="1"/>
  <c r="T39" i="1"/>
  <c r="O21" i="1"/>
  <c r="P21" i="1"/>
  <c r="N21" i="1"/>
  <c r="S67" i="1"/>
  <c r="P67" i="1"/>
  <c r="U67" i="1"/>
  <c r="W67" i="1"/>
  <c r="T67" i="1"/>
  <c r="Y67" i="1"/>
  <c r="V67" i="1"/>
  <c r="R67" i="1"/>
  <c r="O67" i="1"/>
  <c r="Q67" i="1"/>
  <c r="Y37" i="1"/>
  <c r="Y89" i="1" s="1"/>
  <c r="U89" i="1"/>
  <c r="T35" i="1"/>
  <c r="R35" i="1"/>
  <c r="R85" i="1" s="1"/>
  <c r="R92" i="1" s="1"/>
  <c r="F45" i="18" s="1"/>
  <c r="R39" i="1"/>
  <c r="W121" i="1" l="1"/>
  <c r="K51" i="19" s="1"/>
  <c r="S121" i="1"/>
  <c r="G51" i="19" s="1"/>
  <c r="O121" i="1"/>
  <c r="C51" i="19" s="1"/>
  <c r="X121" i="1"/>
  <c r="L51" i="19" s="1"/>
  <c r="T121" i="1"/>
  <c r="H51" i="19" s="1"/>
  <c r="P121" i="1"/>
  <c r="D51" i="19" s="1"/>
  <c r="Y121" i="1"/>
  <c r="M51" i="19" s="1"/>
  <c r="U121" i="1"/>
  <c r="I51" i="19" s="1"/>
  <c r="Q121" i="1"/>
  <c r="E51" i="19" s="1"/>
  <c r="V121" i="1"/>
  <c r="J51" i="19" s="1"/>
  <c r="R121" i="1"/>
  <c r="F51" i="19" s="1"/>
  <c r="N121" i="1"/>
  <c r="B51" i="19" s="1"/>
  <c r="Y119" i="1"/>
  <c r="M50" i="19" s="1"/>
  <c r="X119" i="1"/>
  <c r="L50" i="19" s="1"/>
  <c r="W119" i="1"/>
  <c r="K50" i="19" s="1"/>
  <c r="V119" i="1"/>
  <c r="J50" i="19" s="1"/>
  <c r="U119" i="1"/>
  <c r="I50" i="19" s="1"/>
  <c r="T119" i="1"/>
  <c r="H50" i="19" s="1"/>
  <c r="S119" i="1"/>
  <c r="G50" i="19" s="1"/>
  <c r="R119" i="1"/>
  <c r="F50" i="19" s="1"/>
  <c r="Q119" i="1"/>
  <c r="E50" i="19" s="1"/>
  <c r="P119" i="1"/>
  <c r="D50" i="19" s="1"/>
  <c r="O119" i="1"/>
  <c r="C50" i="19" s="1"/>
  <c r="N119" i="1"/>
  <c r="B50" i="19" s="1"/>
  <c r="V117" i="1"/>
  <c r="J49" i="19" s="1"/>
  <c r="R117" i="1"/>
  <c r="F49" i="19" s="1"/>
  <c r="N117" i="1"/>
  <c r="B49" i="19" s="1"/>
  <c r="Y117" i="1"/>
  <c r="M49" i="19" s="1"/>
  <c r="U117" i="1"/>
  <c r="I49" i="19" s="1"/>
  <c r="Q117" i="1"/>
  <c r="E49" i="19" s="1"/>
  <c r="X117" i="1"/>
  <c r="L49" i="19" s="1"/>
  <c r="T117" i="1"/>
  <c r="H49" i="19" s="1"/>
  <c r="P117" i="1"/>
  <c r="D49" i="19" s="1"/>
  <c r="W117" i="1"/>
  <c r="K49" i="19" s="1"/>
  <c r="S117" i="1"/>
  <c r="G49" i="19" s="1"/>
  <c r="O117" i="1"/>
  <c r="C49" i="19" s="1"/>
  <c r="X115" i="1"/>
  <c r="L48" i="19" s="1"/>
  <c r="V115" i="1"/>
  <c r="J48" i="19" s="1"/>
  <c r="T115" i="1"/>
  <c r="H48" i="19" s="1"/>
  <c r="R115" i="1"/>
  <c r="F48" i="19" s="1"/>
  <c r="P115" i="1"/>
  <c r="D48" i="19" s="1"/>
  <c r="N115" i="1"/>
  <c r="B48" i="19" s="1"/>
  <c r="Y115" i="1"/>
  <c r="M48" i="19" s="1"/>
  <c r="W115" i="1"/>
  <c r="K48" i="19" s="1"/>
  <c r="U115" i="1"/>
  <c r="I48" i="19" s="1"/>
  <c r="S115" i="1"/>
  <c r="G48" i="19" s="1"/>
  <c r="Q115" i="1"/>
  <c r="E48" i="19" s="1"/>
  <c r="O115" i="1"/>
  <c r="C48" i="19" s="1"/>
  <c r="V113" i="1"/>
  <c r="J47" i="19" s="1"/>
  <c r="R113" i="1"/>
  <c r="F47" i="19" s="1"/>
  <c r="N113" i="1"/>
  <c r="B47" i="19" s="1"/>
  <c r="W113" i="1"/>
  <c r="K47" i="19" s="1"/>
  <c r="S113" i="1"/>
  <c r="G47" i="19" s="1"/>
  <c r="O113" i="1"/>
  <c r="C47" i="19" s="1"/>
  <c r="X113" i="1"/>
  <c r="L47" i="19" s="1"/>
  <c r="T113" i="1"/>
  <c r="H47" i="19" s="1"/>
  <c r="P113" i="1"/>
  <c r="D47" i="19" s="1"/>
  <c r="Y113" i="1"/>
  <c r="M47" i="19" s="1"/>
  <c r="U113" i="1"/>
  <c r="I47" i="19" s="1"/>
  <c r="Q113" i="1"/>
  <c r="E47" i="19" s="1"/>
  <c r="Y111" i="1"/>
  <c r="M46" i="19" s="1"/>
  <c r="X111" i="1"/>
  <c r="L46" i="19" s="1"/>
  <c r="W111" i="1"/>
  <c r="K46" i="19" s="1"/>
  <c r="V111" i="1"/>
  <c r="J46" i="19" s="1"/>
  <c r="U111" i="1"/>
  <c r="I46" i="19" s="1"/>
  <c r="T111" i="1"/>
  <c r="H46" i="19" s="1"/>
  <c r="S111" i="1"/>
  <c r="G46" i="19" s="1"/>
  <c r="R111" i="1"/>
  <c r="F46" i="19" s="1"/>
  <c r="Q111" i="1"/>
  <c r="E46" i="19" s="1"/>
  <c r="P111" i="1"/>
  <c r="D46" i="19" s="1"/>
  <c r="O111" i="1"/>
  <c r="C46" i="19" s="1"/>
  <c r="N111" i="1"/>
  <c r="B46" i="19" s="1"/>
  <c r="H29" i="12"/>
  <c r="U23" i="1"/>
  <c r="E25" i="12"/>
  <c r="F24" i="12"/>
  <c r="Q21" i="1"/>
  <c r="D26" i="12"/>
  <c r="Y107" i="1"/>
  <c r="W107" i="1"/>
  <c r="U107" i="1"/>
  <c r="S107" i="1"/>
  <c r="Q107" i="1"/>
  <c r="O107" i="1"/>
  <c r="X107" i="1"/>
  <c r="V107" i="1"/>
  <c r="T107" i="1"/>
  <c r="R107" i="1"/>
  <c r="P107" i="1"/>
  <c r="N107" i="1"/>
  <c r="N236" i="1"/>
  <c r="C15" i="20"/>
  <c r="B129" i="12"/>
  <c r="E11" i="5" s="1"/>
  <c r="G35" i="19"/>
  <c r="I18" i="19"/>
  <c r="I19" i="19"/>
  <c r="I16" i="19"/>
  <c r="I17" i="19"/>
  <c r="I15" i="19"/>
  <c r="I14" i="19"/>
  <c r="I13" i="19"/>
  <c r="I12" i="19"/>
  <c r="G34" i="19"/>
  <c r="T235" i="1"/>
  <c r="T236" i="1" s="1"/>
  <c r="M38" i="18"/>
  <c r="Y85" i="1"/>
  <c r="Y92" i="1" s="1"/>
  <c r="I38" i="18"/>
  <c r="U85" i="1"/>
  <c r="U92" i="1" s="1"/>
  <c r="P235" i="1"/>
  <c r="P236" i="1" s="1"/>
  <c r="I39" i="18"/>
  <c r="H39" i="18"/>
  <c r="M39" i="18"/>
  <c r="D39" i="18"/>
  <c r="K39" i="18"/>
  <c r="B39" i="18"/>
  <c r="J39" i="18"/>
  <c r="G39" i="18"/>
  <c r="L39" i="18"/>
  <c r="E39" i="18"/>
  <c r="F39" i="18"/>
  <c r="C39" i="18"/>
  <c r="R88" i="1"/>
  <c r="F40" i="18"/>
  <c r="W88" i="1"/>
  <c r="K40" i="18"/>
  <c r="V88" i="1"/>
  <c r="J40" i="18"/>
  <c r="S88" i="1"/>
  <c r="G40" i="18"/>
  <c r="Y88" i="1"/>
  <c r="M40" i="18"/>
  <c r="O88" i="1"/>
  <c r="C40" i="18"/>
  <c r="U88" i="1"/>
  <c r="I40" i="18"/>
  <c r="X88" i="1"/>
  <c r="L40" i="18"/>
  <c r="T88" i="1"/>
  <c r="H40" i="18"/>
  <c r="P88" i="1"/>
  <c r="D40" i="18"/>
  <c r="Q88" i="1"/>
  <c r="E40" i="18"/>
  <c r="N88" i="1"/>
  <c r="B40" i="18"/>
  <c r="N84" i="1"/>
  <c r="B38" i="18"/>
  <c r="X84" i="1"/>
  <c r="L38" i="18"/>
  <c r="R84" i="1"/>
  <c r="F38" i="18"/>
  <c r="V84" i="1"/>
  <c r="J38" i="18"/>
  <c r="Q84" i="1"/>
  <c r="E38" i="18"/>
  <c r="P84" i="1"/>
  <c r="D38" i="18"/>
  <c r="S84" i="1"/>
  <c r="G38" i="18"/>
  <c r="T84" i="1"/>
  <c r="H38" i="18"/>
  <c r="W84" i="1"/>
  <c r="K38" i="18"/>
  <c r="N81" i="1"/>
  <c r="B33" i="18"/>
  <c r="X80" i="1"/>
  <c r="L32" i="18"/>
  <c r="Y80" i="1"/>
  <c r="M32" i="18"/>
  <c r="W80" i="1"/>
  <c r="K32" i="18"/>
  <c r="R240" i="1"/>
  <c r="G21" i="20" s="1"/>
  <c r="F46" i="18"/>
  <c r="T240" i="1"/>
  <c r="I21" i="20" s="1"/>
  <c r="H46" i="18"/>
  <c r="G29" i="18"/>
  <c r="F29" i="18"/>
  <c r="K29" i="18"/>
  <c r="J29" i="18"/>
  <c r="I29" i="18"/>
  <c r="C29" i="18"/>
  <c r="H29" i="18"/>
  <c r="E29" i="18"/>
  <c r="M29" i="18"/>
  <c r="D29" i="18"/>
  <c r="Y84" i="1"/>
  <c r="Y86" i="1"/>
  <c r="Y93" i="1" s="1"/>
  <c r="U84" i="1"/>
  <c r="U86" i="1"/>
  <c r="U93" i="1" s="1"/>
  <c r="D46" i="5"/>
  <c r="C44" i="5"/>
  <c r="W86" i="1"/>
  <c r="W93" i="1" s="1"/>
  <c r="W85" i="1"/>
  <c r="W92" i="1" s="1"/>
  <c r="X86" i="1"/>
  <c r="X93" i="1" s="1"/>
  <c r="X85" i="1"/>
  <c r="X92" i="1" s="1"/>
  <c r="V86" i="1"/>
  <c r="V93" i="1" s="1"/>
  <c r="V85" i="1"/>
  <c r="V92" i="1" s="1"/>
  <c r="O240" i="1"/>
  <c r="O235" i="1"/>
  <c r="O236" i="1" s="1"/>
  <c r="S235" i="1"/>
  <c r="S236" i="1" s="1"/>
  <c r="Q235" i="1"/>
  <c r="Q236" i="1" s="1"/>
  <c r="R235" i="1"/>
  <c r="R236" i="1" s="1"/>
  <c r="M39" i="1"/>
  <c r="F23" i="18" s="1"/>
  <c r="E59" i="8"/>
  <c r="G58" i="8"/>
  <c r="J27" i="12"/>
  <c r="I28" i="12"/>
  <c r="V23" i="1" s="1"/>
  <c r="M35" i="1"/>
  <c r="F21" i="18" s="1"/>
  <c r="M17" i="1"/>
  <c r="F11" i="18" s="1"/>
  <c r="M37" i="1"/>
  <c r="F22" i="18" s="1"/>
  <c r="M19" i="1"/>
  <c r="F12" i="18" s="1"/>
  <c r="M15" i="1"/>
  <c r="F10" i="18" s="1"/>
  <c r="N80" i="1" l="1"/>
  <c r="N91" i="1" s="1"/>
  <c r="N230" i="1" s="1"/>
  <c r="B32" i="18"/>
  <c r="G24" i="12"/>
  <c r="F25" i="12"/>
  <c r="F26" i="12" s="1"/>
  <c r="N41" i="1"/>
  <c r="B42" i="18" s="1"/>
  <c r="E26" i="12"/>
  <c r="R21" i="1"/>
  <c r="D43" i="5"/>
  <c r="F43" i="5"/>
  <c r="G18" i="5" s="1"/>
  <c r="B44" i="19"/>
  <c r="M44" i="19"/>
  <c r="C44" i="19"/>
  <c r="W91" i="1"/>
  <c r="K44" i="18" s="1"/>
  <c r="J44" i="19"/>
  <c r="H44" i="19"/>
  <c r="E44" i="19"/>
  <c r="F44" i="19"/>
  <c r="Y91" i="1"/>
  <c r="X91" i="1"/>
  <c r="X230" i="1" s="1"/>
  <c r="L44" i="19"/>
  <c r="I44" i="19"/>
  <c r="G44" i="19"/>
  <c r="D44" i="19"/>
  <c r="K44" i="19"/>
  <c r="D21" i="20"/>
  <c r="I35" i="19"/>
  <c r="M45" i="18"/>
  <c r="I34" i="19"/>
  <c r="D15" i="20"/>
  <c r="I15" i="20"/>
  <c r="G15" i="20"/>
  <c r="H15" i="20"/>
  <c r="E15" i="20"/>
  <c r="F15" i="20"/>
  <c r="I45" i="18"/>
  <c r="J45" i="18"/>
  <c r="X240" i="1"/>
  <c r="M21" i="20" s="1"/>
  <c r="L46" i="18"/>
  <c r="Y240" i="1"/>
  <c r="N21" i="20" s="1"/>
  <c r="M46" i="18"/>
  <c r="V240" i="1"/>
  <c r="K21" i="20" s="1"/>
  <c r="J46" i="18"/>
  <c r="W240" i="1"/>
  <c r="L21" i="20" s="1"/>
  <c r="K46" i="18"/>
  <c r="X235" i="1"/>
  <c r="X236" i="1" s="1"/>
  <c r="L45" i="18"/>
  <c r="U240" i="1"/>
  <c r="J21" i="20" s="1"/>
  <c r="I46" i="18"/>
  <c r="E43" i="5"/>
  <c r="M93" i="1"/>
  <c r="E34" i="8"/>
  <c r="J28" i="12"/>
  <c r="K27" i="12"/>
  <c r="I29" i="12"/>
  <c r="C33" i="18"/>
  <c r="L87" i="31" l="1" a="1"/>
  <c r="L87" i="31" s="1"/>
  <c r="BV230" i="1"/>
  <c r="CH230" i="1"/>
  <c r="BJ230" i="1"/>
  <c r="B87" i="31" a="1"/>
  <c r="B87" i="31" s="1"/>
  <c r="BX230" i="1"/>
  <c r="BL230" i="1"/>
  <c r="AZ230" i="1"/>
  <c r="K28" i="12"/>
  <c r="X23" i="1" s="1"/>
  <c r="I33" i="18" s="1"/>
  <c r="L27" i="12"/>
  <c r="L28" i="12" s="1"/>
  <c r="J29" i="12"/>
  <c r="W23" i="1"/>
  <c r="G25" i="12"/>
  <c r="G26" i="12" s="1"/>
  <c r="H24" i="12"/>
  <c r="O80" i="1"/>
  <c r="C32" i="18"/>
  <c r="M9" i="20"/>
  <c r="C9" i="20"/>
  <c r="M240" i="1"/>
  <c r="B21" i="20" s="1"/>
  <c r="Y235" i="1"/>
  <c r="Y236" i="1" s="1"/>
  <c r="M15" i="20"/>
  <c r="L44" i="18"/>
  <c r="B51" i="18"/>
  <c r="U235" i="1"/>
  <c r="U236" i="1" s="1"/>
  <c r="B44" i="18"/>
  <c r="P81" i="1"/>
  <c r="D33" i="18"/>
  <c r="W230" i="1"/>
  <c r="V235" i="1"/>
  <c r="V236" i="1" s="1"/>
  <c r="M92" i="1"/>
  <c r="Y230" i="1"/>
  <c r="M44" i="18"/>
  <c r="W235" i="1"/>
  <c r="W236" i="1" s="1"/>
  <c r="K45" i="18"/>
  <c r="B50" i="18" s="1"/>
  <c r="G38" i="5"/>
  <c r="G34" i="5"/>
  <c r="G41" i="5"/>
  <c r="G37" i="5"/>
  <c r="G33" i="5"/>
  <c r="G40" i="5"/>
  <c r="G36" i="5"/>
  <c r="G39" i="5"/>
  <c r="G35" i="5"/>
  <c r="G52" i="8"/>
  <c r="G32" i="5"/>
  <c r="I32" i="5" s="1"/>
  <c r="G50" i="8"/>
  <c r="G51" i="8"/>
  <c r="O41" i="1"/>
  <c r="O81" i="1"/>
  <c r="S21" i="1"/>
  <c r="K87" i="31" l="1" a="1"/>
  <c r="K87" i="31" s="1"/>
  <c r="CG230" i="1"/>
  <c r="BU230" i="1"/>
  <c r="BI230" i="1"/>
  <c r="M87" i="31" a="1"/>
  <c r="M87" i="31" s="1"/>
  <c r="CI230" i="1"/>
  <c r="BW230" i="1"/>
  <c r="BK230" i="1"/>
  <c r="O91" i="1"/>
  <c r="C44" i="18" s="1"/>
  <c r="K29" i="12"/>
  <c r="L29" i="12"/>
  <c r="Y23" i="1"/>
  <c r="M23" i="1" s="1"/>
  <c r="B118" i="12" a="1"/>
  <c r="B118" i="12" s="1"/>
  <c r="J23" i="1" s="1"/>
  <c r="C14" i="18" s="1"/>
  <c r="H25" i="12"/>
  <c r="H26" i="12" s="1"/>
  <c r="I24" i="12"/>
  <c r="M16" i="20"/>
  <c r="C16" i="20"/>
  <c r="C42" i="18"/>
  <c r="N15" i="20"/>
  <c r="L15" i="20"/>
  <c r="J15" i="20"/>
  <c r="K15" i="20"/>
  <c r="N9" i="20"/>
  <c r="L9" i="20"/>
  <c r="P80" i="1"/>
  <c r="D32" i="18"/>
  <c r="M235" i="1"/>
  <c r="B15" i="20" s="1"/>
  <c r="I38" i="5"/>
  <c r="H38" i="5"/>
  <c r="I39" i="5"/>
  <c r="H39" i="5"/>
  <c r="I37" i="5"/>
  <c r="H37" i="5"/>
  <c r="I36" i="5"/>
  <c r="H36" i="5"/>
  <c r="I41" i="5"/>
  <c r="H41" i="5"/>
  <c r="I40" i="5"/>
  <c r="H40" i="5"/>
  <c r="I34" i="5"/>
  <c r="H34" i="5"/>
  <c r="I35" i="5"/>
  <c r="H35" i="5"/>
  <c r="I33" i="5"/>
  <c r="H33" i="5"/>
  <c r="H18" i="5"/>
  <c r="I18" i="5"/>
  <c r="H32" i="5"/>
  <c r="G30" i="5"/>
  <c r="I30" i="5" s="1"/>
  <c r="G31" i="5"/>
  <c r="I31" i="5" s="1"/>
  <c r="G28" i="5"/>
  <c r="I28" i="5" s="1"/>
  <c r="G29" i="5"/>
  <c r="I29" i="5" s="1"/>
  <c r="G26" i="5"/>
  <c r="I26" i="5" s="1"/>
  <c r="G27" i="5"/>
  <c r="I27" i="5" s="1"/>
  <c r="G24" i="5"/>
  <c r="I24" i="5" s="1"/>
  <c r="G25" i="5"/>
  <c r="I25" i="5" s="1"/>
  <c r="G22" i="5"/>
  <c r="I22" i="5" s="1"/>
  <c r="G23" i="5"/>
  <c r="I23" i="5" s="1"/>
  <c r="G20" i="5"/>
  <c r="G21" i="5"/>
  <c r="I21" i="5" s="1"/>
  <c r="G19" i="5"/>
  <c r="I19" i="5" s="1"/>
  <c r="U81" i="1"/>
  <c r="P41" i="1"/>
  <c r="D42" i="18" s="1"/>
  <c r="T21" i="1"/>
  <c r="V81" i="1" l="1"/>
  <c r="J33" i="18"/>
  <c r="I25" i="12"/>
  <c r="J24" i="12"/>
  <c r="O230" i="1"/>
  <c r="P91" i="1"/>
  <c r="D44" i="18" s="1"/>
  <c r="K16" i="20"/>
  <c r="L16" i="20"/>
  <c r="I20" i="5"/>
  <c r="I43" i="5" s="1"/>
  <c r="H20" i="5"/>
  <c r="R81" i="1"/>
  <c r="F33" i="18"/>
  <c r="Q81" i="1"/>
  <c r="E33" i="18"/>
  <c r="Q80" i="1"/>
  <c r="E32" i="18"/>
  <c r="G43" i="5"/>
  <c r="H31" i="5"/>
  <c r="H30" i="5"/>
  <c r="H29" i="5"/>
  <c r="H28" i="5"/>
  <c r="H27" i="5"/>
  <c r="H26" i="5"/>
  <c r="H25" i="5"/>
  <c r="H24" i="5"/>
  <c r="H23" i="5"/>
  <c r="H21" i="5"/>
  <c r="H19" i="5"/>
  <c r="H22" i="5"/>
  <c r="Q41" i="1"/>
  <c r="E42" i="18" s="1"/>
  <c r="U21" i="1"/>
  <c r="C87" i="31" l="1" a="1"/>
  <c r="C87" i="31" s="1"/>
  <c r="BY230" i="1"/>
  <c r="BM230" i="1"/>
  <c r="BA230" i="1"/>
  <c r="J25" i="12"/>
  <c r="J26" i="12" s="1"/>
  <c r="K24" i="12"/>
  <c r="I26" i="12"/>
  <c r="F32" i="18"/>
  <c r="U41" i="1"/>
  <c r="I42" i="18" s="1"/>
  <c r="D9" i="20"/>
  <c r="P230" i="1"/>
  <c r="Q91" i="1"/>
  <c r="Q230" i="1" s="1"/>
  <c r="N16" i="20"/>
  <c r="N237" i="1"/>
  <c r="H43" i="5"/>
  <c r="R41" i="1"/>
  <c r="R80" i="1"/>
  <c r="V21" i="1"/>
  <c r="V41" i="1" s="1"/>
  <c r="J42" i="18" s="1"/>
  <c r="E87" i="31" l="1" a="1"/>
  <c r="E87" i="31" s="1"/>
  <c r="CA230" i="1"/>
  <c r="BO230" i="1"/>
  <c r="BC230" i="1"/>
  <c r="D87" i="31" a="1"/>
  <c r="D87" i="31" s="1"/>
  <c r="BN230" i="1"/>
  <c r="BZ230" i="1"/>
  <c r="BB230" i="1"/>
  <c r="L24" i="12"/>
  <c r="L25" i="12" s="1"/>
  <c r="K25" i="12"/>
  <c r="W21" i="1"/>
  <c r="W41" i="1" s="1"/>
  <c r="K42" i="18" s="1"/>
  <c r="E9" i="20"/>
  <c r="R91" i="1"/>
  <c r="F44" i="18" s="1"/>
  <c r="J16" i="20"/>
  <c r="D16" i="20"/>
  <c r="E16" i="20"/>
  <c r="O237" i="1"/>
  <c r="C17" i="20"/>
  <c r="F42" i="18"/>
  <c r="F9" i="20"/>
  <c r="E44" i="18"/>
  <c r="T81" i="1"/>
  <c r="H33" i="18"/>
  <c r="S81" i="1"/>
  <c r="G33" i="18"/>
  <c r="S80" i="1"/>
  <c r="G32" i="18"/>
  <c r="S41" i="1"/>
  <c r="G42" i="18" s="1"/>
  <c r="T41" i="1"/>
  <c r="C118" i="12"/>
  <c r="L23" i="1"/>
  <c r="T80" i="1" l="1"/>
  <c r="T91" i="1" s="1"/>
  <c r="H32" i="18"/>
  <c r="K26" i="12"/>
  <c r="X21" i="1"/>
  <c r="L26" i="12"/>
  <c r="Y21" i="1"/>
  <c r="B117" i="12" a="1"/>
  <c r="B117" i="12" s="1"/>
  <c r="J21" i="1" s="1"/>
  <c r="S91" i="1"/>
  <c r="G44" i="18" s="1"/>
  <c r="R230" i="1"/>
  <c r="H42" i="18"/>
  <c r="P237" i="1"/>
  <c r="D17" i="20"/>
  <c r="E14" i="18"/>
  <c r="F14" i="18"/>
  <c r="F87" i="31" l="1" a="1"/>
  <c r="F87" i="31" s="1"/>
  <c r="CB230" i="1"/>
  <c r="BP230" i="1"/>
  <c r="BD230" i="1"/>
  <c r="M21" i="1"/>
  <c r="F13" i="18" s="1"/>
  <c r="C117" i="12"/>
  <c r="B125" i="12" s="1"/>
  <c r="B127" i="12" s="1"/>
  <c r="C13" i="18"/>
  <c r="X41" i="1"/>
  <c r="U80" i="1"/>
  <c r="U91" i="1" s="1"/>
  <c r="I32" i="18"/>
  <c r="J32" i="18"/>
  <c r="Y41" i="1"/>
  <c r="M42" i="18" s="1"/>
  <c r="V80" i="1"/>
  <c r="V91" i="1" s="1"/>
  <c r="G9" i="20"/>
  <c r="G16" i="20"/>
  <c r="F16" i="20"/>
  <c r="Q237" i="1"/>
  <c r="E17" i="20"/>
  <c r="S230" i="1"/>
  <c r="T230" i="1"/>
  <c r="H44" i="18"/>
  <c r="G87" i="31" l="1" a="1"/>
  <c r="G87" i="31" s="1"/>
  <c r="CC230" i="1"/>
  <c r="BQ230" i="1"/>
  <c r="BE230" i="1"/>
  <c r="H87" i="31" a="1"/>
  <c r="H87" i="31" s="1"/>
  <c r="CD230" i="1"/>
  <c r="BF230" i="1"/>
  <c r="BR230" i="1"/>
  <c r="L21" i="1"/>
  <c r="E13" i="18" s="1"/>
  <c r="J44" i="18"/>
  <c r="V230" i="1"/>
  <c r="I44" i="18"/>
  <c r="U230" i="1"/>
  <c r="L42" i="18"/>
  <c r="M41" i="1"/>
  <c r="M91" i="1"/>
  <c r="R237" i="1"/>
  <c r="F17" i="20"/>
  <c r="I9" i="20"/>
  <c r="H9" i="20"/>
  <c r="J41" i="1"/>
  <c r="CF230" i="1" l="1"/>
  <c r="BT230" i="1"/>
  <c r="BH230" i="1"/>
  <c r="CE230" i="1"/>
  <c r="BS230" i="1"/>
  <c r="BG230" i="1"/>
  <c r="K9" i="20"/>
  <c r="J87" i="31" a="1"/>
  <c r="J87" i="31" s="1"/>
  <c r="J9" i="20"/>
  <c r="I87" i="31" a="1"/>
  <c r="I87" i="31" s="1"/>
  <c r="L41" i="1"/>
  <c r="E25" i="18" s="1"/>
  <c r="B49" i="18"/>
  <c r="F25" i="18"/>
  <c r="B53" i="18" s="1"/>
  <c r="E26" i="8"/>
  <c r="M230" i="1"/>
  <c r="N245" i="1" s="1"/>
  <c r="S237" i="1"/>
  <c r="G17" i="20"/>
  <c r="I16" i="20"/>
  <c r="B14" i="20"/>
  <c r="H16" i="20"/>
  <c r="I9" i="5"/>
  <c r="N87" i="31" l="1"/>
  <c r="K41" i="1"/>
  <c r="E25" i="8" s="1"/>
  <c r="M236" i="1"/>
  <c r="B16" i="20" s="1"/>
  <c r="T237" i="1"/>
  <c r="H17" i="20"/>
  <c r="J36" i="5"/>
  <c r="J41" i="5"/>
  <c r="J40" i="5"/>
  <c r="J34" i="5"/>
  <c r="J35" i="5"/>
  <c r="J33" i="5"/>
  <c r="J38" i="5"/>
  <c r="J39" i="5"/>
  <c r="J37" i="5"/>
  <c r="J32" i="5"/>
  <c r="J31" i="5"/>
  <c r="J30" i="5"/>
  <c r="J23" i="5"/>
  <c r="J26" i="5"/>
  <c r="J19" i="5"/>
  <c r="J28" i="5"/>
  <c r="J22" i="5"/>
  <c r="J21" i="5"/>
  <c r="J20" i="5"/>
  <c r="J25" i="5"/>
  <c r="J24" i="5"/>
  <c r="J29" i="5"/>
  <c r="J27" i="5"/>
  <c r="E24" i="8"/>
  <c r="J18" i="5"/>
  <c r="I12" i="5" l="1"/>
  <c r="E50" i="8" s="1"/>
  <c r="I17" i="20"/>
  <c r="U237" i="1"/>
  <c r="E52" i="8" l="1"/>
  <c r="E51" i="8"/>
  <c r="J17" i="20"/>
  <c r="V237" i="1"/>
  <c r="W237" i="1" l="1"/>
  <c r="K17" i="20"/>
  <c r="L17" i="20" l="1"/>
  <c r="X237" i="1"/>
  <c r="Y237" i="1" l="1"/>
  <c r="N17" i="20" s="1"/>
  <c r="M17" i="20"/>
  <c r="G25" i="20"/>
  <c r="B9" i="20"/>
  <c r="E58" i="8"/>
  <c r="H10" i="21"/>
  <c r="N109" i="1" l="1"/>
  <c r="B45" i="19" s="1"/>
  <c r="U103" i="1" l="1"/>
  <c r="I42" i="19" s="1"/>
  <c r="U109" i="1"/>
  <c r="I45" i="19" s="1"/>
  <c r="Q103" i="1"/>
  <c r="E42" i="19" s="1"/>
  <c r="Q109" i="1"/>
  <c r="E45" i="19" s="1"/>
  <c r="X103" i="1"/>
  <c r="L42" i="19" s="1"/>
  <c r="X109" i="1"/>
  <c r="L45" i="19" s="1"/>
  <c r="V103" i="1"/>
  <c r="V109" i="1"/>
  <c r="J45" i="19" s="1"/>
  <c r="R103" i="1"/>
  <c r="F42" i="19" s="1"/>
  <c r="R109" i="1"/>
  <c r="F45" i="19" s="1"/>
  <c r="Y103" i="1"/>
  <c r="M42" i="19" s="1"/>
  <c r="Y109" i="1"/>
  <c r="M45" i="19" s="1"/>
  <c r="W103" i="1"/>
  <c r="K42" i="19" s="1"/>
  <c r="K163" i="1"/>
  <c r="M163" i="1" s="1"/>
  <c r="H13" i="21" s="1"/>
  <c r="H34" i="21" s="1"/>
  <c r="W109" i="1"/>
  <c r="K45" i="19" s="1"/>
  <c r="S103" i="1"/>
  <c r="G42" i="19" s="1"/>
  <c r="S109" i="1"/>
  <c r="G45" i="19" s="1"/>
  <c r="P103" i="1"/>
  <c r="D42" i="19" s="1"/>
  <c r="P109" i="1"/>
  <c r="D45" i="19" s="1"/>
  <c r="T103" i="1"/>
  <c r="H42" i="19" s="1"/>
  <c r="T109" i="1"/>
  <c r="H45" i="19" s="1"/>
  <c r="O103" i="1"/>
  <c r="C42" i="19" s="1"/>
  <c r="O109" i="1"/>
  <c r="C45" i="19" s="1"/>
  <c r="K160" i="1"/>
  <c r="M160" i="1" s="1"/>
  <c r="N103" i="1"/>
  <c r="F66" i="19" l="1"/>
  <c r="I66" i="19"/>
  <c r="P229" i="1"/>
  <c r="K66" i="19"/>
  <c r="R229" i="1"/>
  <c r="X229" i="1"/>
  <c r="H66" i="19"/>
  <c r="G66" i="19"/>
  <c r="L66" i="19"/>
  <c r="U229" i="1"/>
  <c r="V229" i="1"/>
  <c r="M66" i="19"/>
  <c r="E66" i="19"/>
  <c r="J42" i="19"/>
  <c r="J66" i="19" s="1"/>
  <c r="T229" i="1"/>
  <c r="O229" i="1"/>
  <c r="Y229" i="1"/>
  <c r="Q229" i="1"/>
  <c r="S229" i="1"/>
  <c r="D66" i="19"/>
  <c r="C66" i="19"/>
  <c r="W229" i="1"/>
  <c r="N229" i="1"/>
  <c r="B42" i="19"/>
  <c r="B66" i="19" s="1"/>
  <c r="CC229" i="1" l="1"/>
  <c r="CC231" i="1" s="1"/>
  <c r="BQ229" i="1"/>
  <c r="BQ231" i="1" s="1"/>
  <c r="BE229" i="1"/>
  <c r="BE231" i="1" s="1"/>
  <c r="CF229" i="1"/>
  <c r="CF231" i="1" s="1"/>
  <c r="BT229" i="1"/>
  <c r="BT231" i="1" s="1"/>
  <c r="BH229" i="1"/>
  <c r="BH231" i="1" s="1"/>
  <c r="CG229" i="1"/>
  <c r="CG231" i="1" s="1"/>
  <c r="BU229" i="1"/>
  <c r="BU231" i="1" s="1"/>
  <c r="BI229" i="1"/>
  <c r="BI231" i="1" s="1"/>
  <c r="CE229" i="1"/>
  <c r="CE231" i="1" s="1"/>
  <c r="BS229" i="1"/>
  <c r="BS231" i="1" s="1"/>
  <c r="BG229" i="1"/>
  <c r="BG231" i="1" s="1"/>
  <c r="CH229" i="1"/>
  <c r="CH231" i="1" s="1"/>
  <c r="BV229" i="1"/>
  <c r="BV231" i="1" s="1"/>
  <c r="BJ229" i="1"/>
  <c r="BJ231" i="1" s="1"/>
  <c r="BY229" i="1"/>
  <c r="BY231" i="1" s="1"/>
  <c r="BM229" i="1"/>
  <c r="BM231" i="1" s="1"/>
  <c r="BA229" i="1"/>
  <c r="BA231" i="1" s="1"/>
  <c r="B86" i="31" a="1"/>
  <c r="BX229" i="1"/>
  <c r="BX231" i="1" s="1"/>
  <c r="BL229" i="1"/>
  <c r="BL231" i="1" s="1"/>
  <c r="AZ229" i="1"/>
  <c r="AZ231" i="1" s="1"/>
  <c r="CD229" i="1"/>
  <c r="CD231" i="1" s="1"/>
  <c r="BR229" i="1"/>
  <c r="BR231" i="1" s="1"/>
  <c r="BF229" i="1"/>
  <c r="BF231" i="1" s="1"/>
  <c r="BZ229" i="1"/>
  <c r="BZ231" i="1" s="1"/>
  <c r="BN229" i="1"/>
  <c r="BN231" i="1" s="1"/>
  <c r="BB229" i="1"/>
  <c r="BB231" i="1" s="1"/>
  <c r="CA229" i="1"/>
  <c r="CA231" i="1" s="1"/>
  <c r="BO229" i="1"/>
  <c r="BO231" i="1" s="1"/>
  <c r="BC229" i="1"/>
  <c r="BC231" i="1" s="1"/>
  <c r="CI229" i="1"/>
  <c r="CI231" i="1" s="1"/>
  <c r="BW229" i="1"/>
  <c r="BW231" i="1" s="1"/>
  <c r="BK229" i="1"/>
  <c r="BK231" i="1" s="1"/>
  <c r="CB229" i="1"/>
  <c r="CB231" i="1" s="1"/>
  <c r="BP229" i="1"/>
  <c r="BP231" i="1" s="1"/>
  <c r="BD229" i="1"/>
  <c r="BD231" i="1" s="1"/>
  <c r="H8" i="20"/>
  <c r="G86" i="31" a="1"/>
  <c r="G86" i="31" s="1"/>
  <c r="G88" i="31" s="1"/>
  <c r="N8" i="20"/>
  <c r="M86" i="31" a="1"/>
  <c r="M86" i="31" s="1"/>
  <c r="M88" i="31" s="1"/>
  <c r="O231" i="1"/>
  <c r="D10" i="20" s="1"/>
  <c r="C86" i="31" a="1"/>
  <c r="C86" i="31" s="1"/>
  <c r="C88" i="31" s="1"/>
  <c r="T231" i="1"/>
  <c r="I10" i="20" s="1"/>
  <c r="H86" i="31" a="1"/>
  <c r="H86" i="31" s="1"/>
  <c r="H88" i="31" s="1"/>
  <c r="V231" i="1"/>
  <c r="K10" i="20" s="1"/>
  <c r="J86" i="31" a="1"/>
  <c r="J86" i="31" s="1"/>
  <c r="J88" i="31" s="1"/>
  <c r="P231" i="1"/>
  <c r="E10" i="20" s="1"/>
  <c r="D86" i="31" a="1"/>
  <c r="D86" i="31" s="1"/>
  <c r="D88" i="31" s="1"/>
  <c r="W231" i="1"/>
  <c r="L10" i="20" s="1"/>
  <c r="K86" i="31" a="1"/>
  <c r="K86" i="31" s="1"/>
  <c r="K88" i="31" s="1"/>
  <c r="J8" i="20"/>
  <c r="I86" i="31" a="1"/>
  <c r="I86" i="31" s="1"/>
  <c r="I88" i="31" s="1"/>
  <c r="M8" i="20"/>
  <c r="L86" i="31" a="1"/>
  <c r="L86" i="31" s="1"/>
  <c r="L88" i="31" s="1"/>
  <c r="Q231" i="1"/>
  <c r="F10" i="20" s="1"/>
  <c r="E86" i="31" a="1"/>
  <c r="E86" i="31" s="1"/>
  <c r="E88" i="31" s="1"/>
  <c r="G8" i="20"/>
  <c r="F86" i="31" a="1"/>
  <c r="F86" i="31" s="1"/>
  <c r="F88" i="31" s="1"/>
  <c r="X231" i="1"/>
  <c r="M10" i="20" s="1"/>
  <c r="E8" i="20"/>
  <c r="U231" i="1"/>
  <c r="J10" i="20" s="1"/>
  <c r="R231" i="1"/>
  <c r="G10" i="20" s="1"/>
  <c r="D8" i="20"/>
  <c r="K8" i="20"/>
  <c r="Y231" i="1"/>
  <c r="N10" i="20" s="1"/>
  <c r="I8" i="20"/>
  <c r="S231" i="1"/>
  <c r="H10" i="20" s="1"/>
  <c r="F8" i="20"/>
  <c r="L8" i="20"/>
  <c r="C8" i="20"/>
  <c r="M229" i="1"/>
  <c r="N231" i="1"/>
  <c r="C10" i="20" s="1"/>
  <c r="AZ232" i="1" l="1"/>
  <c r="BA232" i="1" s="1"/>
  <c r="BB232" i="1" s="1"/>
  <c r="BC232" i="1" s="1"/>
  <c r="BD232" i="1" s="1"/>
  <c r="BE232" i="1" s="1"/>
  <c r="BF232" i="1" s="1"/>
  <c r="BG232" i="1" s="1"/>
  <c r="BH232" i="1" s="1"/>
  <c r="BI232" i="1" s="1"/>
  <c r="BJ232" i="1" s="1"/>
  <c r="BK232" i="1" s="1"/>
  <c r="BL232" i="1" s="1"/>
  <c r="BM232" i="1" s="1"/>
  <c r="BN232" i="1" s="1"/>
  <c r="BO232" i="1" s="1"/>
  <c r="BP232" i="1" s="1"/>
  <c r="BQ232" i="1" s="1"/>
  <c r="BR232" i="1" s="1"/>
  <c r="BS232" i="1" s="1"/>
  <c r="BT232" i="1" s="1"/>
  <c r="BU232" i="1" s="1"/>
  <c r="BV232" i="1" s="1"/>
  <c r="BW232" i="1" s="1"/>
  <c r="BX232" i="1" s="1"/>
  <c r="M231" i="1"/>
  <c r="B10" i="20" s="1"/>
  <c r="N247" i="1"/>
  <c r="B8" i="20"/>
  <c r="BY232" i="1" l="1"/>
  <c r="N232" i="1"/>
  <c r="C11" i="20" s="1"/>
  <c r="E33" i="8"/>
  <c r="G26" i="20"/>
  <c r="N249" i="1"/>
  <c r="N277" i="1"/>
  <c r="G42" i="20" s="1"/>
  <c r="BZ232" i="1" l="1"/>
  <c r="O232" i="1"/>
  <c r="D11" i="20" s="1"/>
  <c r="G28" i="20"/>
  <c r="A89" i="31"/>
  <c r="E35" i="8"/>
  <c r="E39" i="8" s="1"/>
  <c r="E41" i="8" s="1"/>
  <c r="E46" i="8"/>
  <c r="CA232" i="1" l="1"/>
  <c r="P232" i="1"/>
  <c r="E11" i="20" s="1"/>
  <c r="CB232" i="1" l="1"/>
  <c r="Q232" i="1"/>
  <c r="F11" i="20" s="1"/>
  <c r="CC232" i="1" l="1"/>
  <c r="R232" i="1"/>
  <c r="G11" i="20" s="1"/>
  <c r="CD232" i="1" l="1"/>
  <c r="S232" i="1"/>
  <c r="H11" i="20" s="1"/>
  <c r="CE232" i="1" l="1"/>
  <c r="T232" i="1"/>
  <c r="I11" i="20" s="1"/>
  <c r="CF232" i="1" l="1"/>
  <c r="U232" i="1"/>
  <c r="J11" i="20" s="1"/>
  <c r="CG232" i="1" l="1"/>
  <c r="V232" i="1"/>
  <c r="K11" i="20" s="1"/>
  <c r="CH232" i="1" l="1"/>
  <c r="W232" i="1"/>
  <c r="L11" i="20" s="1"/>
  <c r="CI232" i="1" l="1"/>
  <c r="Y232" i="1" s="1"/>
  <c r="N11" i="20" s="1"/>
  <c r="X232" i="1"/>
  <c r="M11" i="20" s="1"/>
  <c r="B86" i="31"/>
  <c r="N86" i="31" s="1"/>
  <c r="N88" i="31" s="1"/>
  <c r="B88" i="3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X61" authorId="0" shapeId="0" xr:uid="{7D46A324-1A8D-0A4C-8E76-D44412FF3067}">
      <text>
        <r>
          <rPr>
            <b/>
            <sz val="10"/>
            <color rgb="FF000000"/>
            <rFont val="Tahoma"/>
            <family val="2"/>
          </rPr>
          <t>Microsoft Office User:</t>
        </r>
        <r>
          <rPr>
            <sz val="10"/>
            <color rgb="FF000000"/>
            <rFont val="Tahoma"/>
            <family val="2"/>
          </rPr>
          <t xml:space="preserve">
</t>
        </r>
        <r>
          <rPr>
            <sz val="10"/>
            <color rgb="FF000000"/>
            <rFont val="Tahoma"/>
            <family val="2"/>
          </rPr>
          <t>Organic matter of soil series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lauren Cartwright</author>
  </authors>
  <commentList>
    <comment ref="K210" authorId="0" shapeId="0" xr:uid="{00000000-0006-0000-0200-000001000000}">
      <text>
        <r>
          <rPr>
            <b/>
            <sz val="12"/>
            <color indexed="81"/>
            <rFont val="Arial"/>
            <family val="2"/>
          </rPr>
          <t>Enter haying month as a number:  e.g. Jan = 1, Feb = 2, Mar = 3...</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<sst xmlns="http://schemas.openxmlformats.org/spreadsheetml/2006/main" count="6774" uniqueCount="3198">
  <si>
    <t>Total Balance for Operation considering Pasture and Hay (on and off farm sources)</t>
  </si>
  <si>
    <r>
      <t>If</t>
    </r>
    <r>
      <rPr>
        <sz val="11"/>
        <rFont val="Arial"/>
        <family val="2"/>
      </rPr>
      <t xml:space="preserve"> the grazing efficiency on grazed acres was </t>
    </r>
    <r>
      <rPr>
        <b/>
        <sz val="11"/>
        <rFont val="Arial"/>
        <family val="2"/>
      </rPr>
      <t>60%</t>
    </r>
    <r>
      <rPr>
        <sz val="11"/>
        <rFont val="Arial"/>
        <family val="2"/>
      </rPr>
      <t>, enough pasture forage is estimated to feed:</t>
    </r>
  </si>
  <si>
    <r>
      <t>If</t>
    </r>
    <r>
      <rPr>
        <sz val="11"/>
        <rFont val="Arial"/>
        <family val="2"/>
      </rPr>
      <t xml:space="preserve"> the grazing efficiency on grazed acres was </t>
    </r>
    <r>
      <rPr>
        <b/>
        <sz val="11"/>
        <rFont val="Arial"/>
        <family val="2"/>
      </rPr>
      <t>50%</t>
    </r>
    <r>
      <rPr>
        <sz val="11"/>
        <rFont val="Arial"/>
        <family val="2"/>
      </rPr>
      <t>, enough pasture forage is estimated to feed:</t>
    </r>
  </si>
  <si>
    <r>
      <t>If</t>
    </r>
    <r>
      <rPr>
        <sz val="11"/>
        <rFont val="Arial"/>
        <family val="2"/>
      </rPr>
      <t xml:space="preserve"> the grazing efficiency on grazed acres was </t>
    </r>
    <r>
      <rPr>
        <b/>
        <sz val="11"/>
        <rFont val="Arial"/>
        <family val="2"/>
      </rPr>
      <t>40%</t>
    </r>
    <r>
      <rPr>
        <sz val="11"/>
        <rFont val="Arial"/>
        <family val="2"/>
      </rPr>
      <t>, enough pasture forage is estimated to feed:</t>
    </r>
  </si>
  <si>
    <t xml:space="preserve">        For this operation, using the type and size of your livestock, it is estimated that the </t>
  </si>
  <si>
    <t>For your operation, using the type and average size of your livestock, according to these calculations, the estimated carrying capacity on this farm,</t>
  </si>
  <si>
    <r>
      <t xml:space="preserve">considering the </t>
    </r>
    <r>
      <rPr>
        <b/>
        <sz val="11"/>
        <rFont val="Arial"/>
        <family val="2"/>
      </rPr>
      <t>pasture and hay (on&amp;off farm sources)</t>
    </r>
    <r>
      <rPr>
        <sz val="11"/>
        <rFont val="Arial"/>
        <family val="2"/>
      </rPr>
      <t xml:space="preserve"> for a full 365 day period is:………. </t>
    </r>
  </si>
  <si>
    <t>This sheet is intended for the planner to print out a blank sheet, take it to the field and complete while talking to the producer and working with the producer.  It allows the entries required to complete the other Graze4 worksheets.</t>
  </si>
  <si>
    <r>
      <t xml:space="preserve">               For the next 3 calculations, forages from the grazed pasture </t>
    </r>
    <r>
      <rPr>
        <b/>
        <sz val="12"/>
        <rFont val="Arial"/>
        <family val="2"/>
      </rPr>
      <t xml:space="preserve">only </t>
    </r>
    <r>
      <rPr>
        <sz val="12"/>
        <rFont val="Arial"/>
        <family val="2"/>
      </rPr>
      <t>was</t>
    </r>
    <r>
      <rPr>
        <b/>
        <sz val="12"/>
        <rFont val="Arial"/>
        <family val="2"/>
      </rPr>
      <t xml:space="preserve"> </t>
    </r>
    <r>
      <rPr>
        <sz val="12"/>
        <rFont val="Arial"/>
        <family val="2"/>
      </rPr>
      <t>considered.  Hay is not included.</t>
    </r>
  </si>
  <si>
    <t>Pasture only</t>
  </si>
  <si>
    <t xml:space="preserve">    to come up with the carrying capacity estimates if the grazing efficiency for this operation was increased.</t>
  </si>
  <si>
    <t xml:space="preserve">   When grazing efficiency is increased, total production will likely increase as well. Some increases in the production was assumed (5%,10%,15%) </t>
  </si>
  <si>
    <t>The GRAZE4 program does not replace the next version of GLA (GSAT) or other existing tools.  It is simply another option or alternative to use as a tool for planning grazing systems.</t>
  </si>
  <si>
    <t xml:space="preserve">You need to navigate to the folder where you want to save the file.  You may consider storing the file in the toolkit customers folder.  This may be the most convenient and feasible location.  This way everyone will have access to it.  However, each time you save this file to a different name you are saving over 200 KB of information which over time can add up.  Just be aware that these files may need to be deleted in the future if drive space becomes limited.  </t>
  </si>
  <si>
    <t>It is highly recommended that planners with minimal grassland planning experience ask for assistance on interpretation of these spreadsheets before using GRAZE4 on a wide-scale basis.  This program is a quick and easy tool to use but it is extremely important that the user understand the numbers being generated.</t>
  </si>
  <si>
    <t>GRAZE4 is very simple to use.  Data like fields, forage mixtures, acres, and total forage production only need to be entered once to complete all worksheets.  Entering data, printing and reading the reports and graphs are fairly easy and straight-forward.    This program will work well for the majority of the grazing systems most offices deal with.  One-herd systems where the majority of the nutrition is from grazing are ideal situations for this program.</t>
  </si>
  <si>
    <t xml:space="preserve">GRAZE4 also has difficulty with grazing systems where a leader-follower system or “put and take” operation is practiced.    Multiple herds of different herds where one herd grazes, as an example, 365 days and the other herd 180 days will also be a problem with this program.  The more complicated systems should probably utilize GSAT for planning.  </t>
  </si>
  <si>
    <t xml:space="preserve">Some farms have several fields that have the same forage species in all fields.  To efficiently enter the forage species for several fields, first enter the specie for the first field and then do a copy and paste function for the rest of the fields that have the same mixture. </t>
  </si>
  <si>
    <r>
      <t>NOTE</t>
    </r>
    <r>
      <rPr>
        <sz val="10"/>
        <rFont val="Arial"/>
        <family val="2"/>
      </rPr>
      <t>: Regardless of which of the above resources you use, you need to make sure of the units being used in the guide (yield versus TFP) plus the type of management (ex. high versus medium level of management, low versus medium soil fertility...) being assumed to come up with estimates.</t>
    </r>
  </si>
  <si>
    <t>Sorghum/Sudan and Ryegrass DC</t>
  </si>
  <si>
    <t>The total number of livestock used for these calculations is:</t>
  </si>
  <si>
    <t>Forages</t>
  </si>
  <si>
    <t>Printing Worksheets</t>
  </si>
  <si>
    <t>Name:</t>
  </si>
  <si>
    <t>System ID:</t>
  </si>
  <si>
    <t>County:</t>
  </si>
  <si>
    <t>Calculations for weighted averages for G.E., intake, # head</t>
  </si>
  <si>
    <t>Date:</t>
  </si>
  <si>
    <t>head X wt</t>
  </si>
  <si>
    <t>-</t>
  </si>
  <si>
    <t>Planned</t>
  </si>
  <si>
    <t xml:space="preserve">  Intake</t>
  </si>
  <si>
    <t xml:space="preserve">  Minimum Rest Period =</t>
  </si>
  <si>
    <t>days</t>
  </si>
  <si>
    <t>pounds</t>
  </si>
  <si>
    <t>Bulls</t>
  </si>
  <si>
    <t>Number</t>
  </si>
  <si>
    <t>Rate (%)</t>
  </si>
  <si>
    <t>Apr.</t>
  </si>
  <si>
    <t>May</t>
  </si>
  <si>
    <t>June</t>
  </si>
  <si>
    <t>July</t>
  </si>
  <si>
    <t>Aug.</t>
  </si>
  <si>
    <t>Sept.</t>
  </si>
  <si>
    <t>Oct.</t>
  </si>
  <si>
    <t>Nov.</t>
  </si>
  <si>
    <t>Dec.</t>
  </si>
  <si>
    <t>Jan.</t>
  </si>
  <si>
    <t>Feb.</t>
  </si>
  <si>
    <t>Mar.</t>
  </si>
  <si>
    <t xml:space="preserve">  Maximum Rest Period =</t>
  </si>
  <si>
    <t>Horses</t>
  </si>
  <si>
    <t>percent</t>
  </si>
  <si>
    <t>Sheep</t>
  </si>
  <si>
    <t>Goats</t>
  </si>
  <si>
    <t>Stockers</t>
  </si>
  <si>
    <t>Field Name</t>
  </si>
  <si>
    <t>Field</t>
  </si>
  <si>
    <t>Minimum</t>
  </si>
  <si>
    <t>Maximum</t>
  </si>
  <si>
    <t>Animal Density</t>
  </si>
  <si>
    <t xml:space="preserve">Minimum </t>
  </si>
  <si>
    <t>or Number</t>
  </si>
  <si>
    <t>Acres</t>
  </si>
  <si>
    <t>Production</t>
  </si>
  <si>
    <t xml:space="preserve">Paddock </t>
  </si>
  <si>
    <t>Grazing</t>
  </si>
  <si>
    <t>TOTAL</t>
  </si>
  <si>
    <t>Factor</t>
  </si>
  <si>
    <t>Period</t>
  </si>
  <si>
    <t>per acre)</t>
  </si>
  <si>
    <t>Height</t>
  </si>
  <si>
    <t xml:space="preserve"> or Paddock)</t>
  </si>
  <si>
    <t>(no. of days)</t>
  </si>
  <si>
    <t>(inches)</t>
  </si>
  <si>
    <t>G.E. avg.=</t>
  </si>
  <si>
    <t>Total</t>
  </si>
  <si>
    <t xml:space="preserve">Grazing </t>
  </si>
  <si>
    <t xml:space="preserve">Usable </t>
  </si>
  <si>
    <t>Kind of Forage</t>
  </si>
  <si>
    <t>(Usable)</t>
  </si>
  <si>
    <t>Pounds</t>
  </si>
  <si>
    <t>Eff. (%)</t>
  </si>
  <si>
    <t>AVERAGES:</t>
  </si>
  <si>
    <t>TOTALS:</t>
  </si>
  <si>
    <t>Avg. Acres/Animal</t>
  </si>
  <si>
    <t>Pasture</t>
  </si>
  <si>
    <t>Mixes</t>
  </si>
  <si>
    <t>Mar</t>
  </si>
  <si>
    <t>Apr</t>
  </si>
  <si>
    <t>Jun</t>
  </si>
  <si>
    <t>Jul</t>
  </si>
  <si>
    <t>Aug</t>
  </si>
  <si>
    <t>Sep</t>
  </si>
  <si>
    <t>Oct</t>
  </si>
  <si>
    <t>Nov</t>
  </si>
  <si>
    <t>Dec</t>
  </si>
  <si>
    <t>2-3</t>
  </si>
  <si>
    <t>April</t>
  </si>
  <si>
    <t>August</t>
  </si>
  <si>
    <t>September</t>
  </si>
  <si>
    <t>October</t>
  </si>
  <si>
    <t>November</t>
  </si>
  <si>
    <t>December</t>
  </si>
  <si>
    <t>January</t>
  </si>
  <si>
    <t>February</t>
  </si>
  <si>
    <t>March</t>
  </si>
  <si>
    <t>days on month</t>
  </si>
  <si>
    <t>accum days prior</t>
  </si>
  <si>
    <t>avg wt for month</t>
  </si>
  <si>
    <t>accum days total</t>
  </si>
  <si>
    <t>month rel. to calving</t>
  </si>
  <si>
    <t>relative forage requirement</t>
  </si>
  <si>
    <t>Lbs/Year</t>
  </si>
  <si>
    <t>Lbs/Day</t>
  </si>
  <si>
    <t>(fields)</t>
  </si>
  <si>
    <t>Hay</t>
  </si>
  <si>
    <t>Harvest</t>
  </si>
  <si>
    <t>Weight</t>
  </si>
  <si>
    <t>TOTAL AVAILABLE PASTURE FORAGE  (Lbs.):</t>
  </si>
  <si>
    <t>Fescue- Hay before Winter stockpiled</t>
  </si>
  <si>
    <t>Tons/Year</t>
  </si>
  <si>
    <t>Corn silage</t>
  </si>
  <si>
    <t>Avg.</t>
  </si>
  <si>
    <t>Cut Height</t>
  </si>
  <si>
    <t>Cutting</t>
  </si>
  <si>
    <t>4-6</t>
  </si>
  <si>
    <t>3</t>
  </si>
  <si>
    <t>3-4</t>
  </si>
  <si>
    <t>2</t>
  </si>
  <si>
    <t>6-8</t>
  </si>
  <si>
    <t>4</t>
  </si>
  <si>
    <t>5</t>
  </si>
  <si>
    <t>6-10</t>
  </si>
  <si>
    <t>6-10 &amp; 2</t>
  </si>
  <si>
    <t>6</t>
  </si>
  <si>
    <t>Mechanically Harvested Forage</t>
  </si>
  <si>
    <t>Usable Forage</t>
  </si>
  <si>
    <t>Alfalfa Hay</t>
  </si>
  <si>
    <t>Bermudagrass Hay</t>
  </si>
  <si>
    <t>Big Bluestem Hay</t>
  </si>
  <si>
    <t>Bluegrass Hay</t>
  </si>
  <si>
    <t>Brome Hay</t>
  </si>
  <si>
    <t>Brome/Alfalfa Hay</t>
  </si>
  <si>
    <t>Brome/Birdsfoot Hay</t>
  </si>
  <si>
    <t>Caucasian Bluestem Hay</t>
  </si>
  <si>
    <t>Crabgrass Hay</t>
  </si>
  <si>
    <t>Crabgrass and Wheat/Rye DC Hay</t>
  </si>
  <si>
    <t>Eastern Gamagrass Hay</t>
  </si>
  <si>
    <t>Fescue Hay</t>
  </si>
  <si>
    <t>Fescue/Alfalfa Hay</t>
  </si>
  <si>
    <t>Fescue/Birdsfoot Hay</t>
  </si>
  <si>
    <t>Fescue/Ladino Hay</t>
  </si>
  <si>
    <t>Fescue/Lespedeza Hay</t>
  </si>
  <si>
    <t>Fescue/Lespedeza/Ladino Hay</t>
  </si>
  <si>
    <t>Fescue/Red Clover Hay</t>
  </si>
  <si>
    <t>Fescue/Red Clover/Ladino Hay</t>
  </si>
  <si>
    <t>Indian/Big Blue Hay</t>
  </si>
  <si>
    <t>Indiangrass Hay</t>
  </si>
  <si>
    <t>Johnsongrass Hay</t>
  </si>
  <si>
    <t>Lespedeza Hay</t>
  </si>
  <si>
    <t>Little Bluestem Hay</t>
  </si>
  <si>
    <t>Mixed Pasture (annual/perennial) Hay</t>
  </si>
  <si>
    <t>Orchardgrass Hay</t>
  </si>
  <si>
    <t>Orchardgrass/Alfalfa Hay</t>
  </si>
  <si>
    <t>Orchardgrass/Alfalfa/Ladino Hay</t>
  </si>
  <si>
    <t>Orchardgrass/Birdsfoot/Bluegrass Hay</t>
  </si>
  <si>
    <t>Orchardgrass/Ladino Hay</t>
  </si>
  <si>
    <t>Orchardgrass/Lespedeza Hay</t>
  </si>
  <si>
    <t>Orchardgrass/Lespedeza/Ladino Hay</t>
  </si>
  <si>
    <t>Orchardgrass/Red Clover Hay</t>
  </si>
  <si>
    <t>Red Clover Hay</t>
  </si>
  <si>
    <t>Reed Canary Hay</t>
  </si>
  <si>
    <t>Reed Canary/Alfalfa Hay</t>
  </si>
  <si>
    <t>Reed Canary/Ladino/Alsike Hay</t>
  </si>
  <si>
    <t>Reed Canary/Red Clover Hay</t>
  </si>
  <si>
    <t>Sorghum/Sudan Hay</t>
  </si>
  <si>
    <t>Sorghum/Sudan and Wheat/Rye DC Hay</t>
  </si>
  <si>
    <t>Switchgrass Hay</t>
  </si>
  <si>
    <t>Timothy/Alfalfa/Ladino Hay</t>
  </si>
  <si>
    <t>Timothy/Red Clover Hay</t>
  </si>
  <si>
    <t>Wheat/Rye Hay</t>
  </si>
  <si>
    <t>Crabgrass and Ryegrass DC</t>
  </si>
  <si>
    <t>intake/Year</t>
  </si>
  <si>
    <t>LIVESTOCK</t>
  </si>
  <si>
    <t>Head</t>
  </si>
  <si>
    <t>The estimated annual total livestock forage needs are:</t>
  </si>
  <si>
    <t>OR</t>
  </si>
  <si>
    <t>DIFFERENCES</t>
  </si>
  <si>
    <t>FORAGE</t>
  </si>
  <si>
    <t>CARRYING CAPACITY ESTIMATES</t>
  </si>
  <si>
    <t>The estimated average grazing efficiency used is:</t>
  </si>
  <si>
    <t>Native grass (prairie) Hay</t>
  </si>
  <si>
    <t xml:space="preserve">The average weight of all livestock used for these calculations is: </t>
  </si>
  <si>
    <t>Introduction</t>
  </si>
  <si>
    <t>Advantages and Disadvantages</t>
  </si>
  <si>
    <t>head</t>
  </si>
  <si>
    <t>The figures consider all hay sources and may be excessive. No minus sign means a surplus is estimated)</t>
  </si>
  <si>
    <t>(A minus sign equals estimated additional amount needs per year for the number of animals shown above.</t>
  </si>
  <si>
    <t>Entering Data</t>
  </si>
  <si>
    <t>If for some reason, you need to make changes in cells that are protected, here are the steps to unprotect the spreadsheet.</t>
  </si>
  <si>
    <t>To re-protect the sheet, follow the same steps (there is no password).</t>
  </si>
  <si>
    <t xml:space="preserve">   Protection</t>
  </si>
  <si>
    <t xml:space="preserve">     Unprotect Sheet</t>
  </si>
  <si>
    <t>Make changes as needed and re-protect the worksheet.</t>
  </si>
  <si>
    <t>Saving Data</t>
  </si>
  <si>
    <t xml:space="preserve">     DEFINITIONS</t>
  </si>
  <si>
    <r>
      <t xml:space="preserve">Select </t>
    </r>
    <r>
      <rPr>
        <i/>
        <sz val="10"/>
        <rFont val="Arial"/>
        <family val="2"/>
      </rPr>
      <t>Tools</t>
    </r>
  </si>
  <si>
    <r>
      <t xml:space="preserve">         in the block under </t>
    </r>
    <r>
      <rPr>
        <i/>
        <sz val="10"/>
        <rFont val="Arial"/>
        <family val="2"/>
      </rPr>
      <t>File Name</t>
    </r>
    <r>
      <rPr>
        <sz val="10"/>
        <rFont val="Arial"/>
        <family val="2"/>
      </rPr>
      <t>, type in the unique name you want to save that file as.</t>
    </r>
  </si>
  <si>
    <r>
      <t xml:space="preserve">            Click </t>
    </r>
    <r>
      <rPr>
        <i/>
        <sz val="10"/>
        <rFont val="Arial"/>
        <family val="2"/>
      </rPr>
      <t>OK</t>
    </r>
  </si>
  <si>
    <t>Total Forage Production</t>
  </si>
  <si>
    <t xml:space="preserve">Estimating total forage production (TFP) is tough.  First off, you have to remember that total forage production is not the same as "yield".  Yield usually considers what is actually removed and harvested whether by the animal or machine.  Total forage production is the yield plus the growth that is left below what the animal eats or machine cuts.   </t>
  </si>
  <si>
    <t xml:space="preserve">The Time Control Grazing Worksheet no longer calculates the carrying capacity (shown on summary).  It shows the minimum and maximum grazing days based on the size of the pastures and production, and calculates the animal density per acre.  The Min/Max grazing days are a guide for the producer.  Minimum grazing days for when forages are growing fast, maximum for when forages are growing slower.  The 528a standard and specification will give you guidelines on what is acceptable.  This worksheet also has the capacity of 24 fields to be entered which are carried over from step 1.  </t>
  </si>
  <si>
    <t>Additional Hay or forage purchased or brought in from off-farm sources is:</t>
  </si>
  <si>
    <t>The estimated total pounds of forage available through grazing are:</t>
  </si>
  <si>
    <t xml:space="preserve">The estimated difference between the total forage and animal needs is:   </t>
  </si>
  <si>
    <t>% of animal weight</t>
  </si>
  <si>
    <t>The estimated average daily intake rate used is:</t>
  </si>
  <si>
    <t>Numbers</t>
  </si>
  <si>
    <t>Average Weights</t>
  </si>
  <si>
    <t>Livestock Class</t>
  </si>
  <si>
    <t>Field Worksheet</t>
  </si>
  <si>
    <t>Field #</t>
  </si>
  <si>
    <t>___________________________________________________________________________________</t>
  </si>
  <si>
    <t>This sheet is a means to explain the worksheets that you are providing to them.  Print it out and check the sheets that you are including in the plan.</t>
  </si>
  <si>
    <t xml:space="preserve">However, excess hay beyond the needs of animals (during hay feeding periods) shown under "carrying capacity for pasture"  was not considered.  </t>
  </si>
  <si>
    <t>days*</t>
  </si>
  <si>
    <t xml:space="preserve">head** </t>
  </si>
  <si>
    <t xml:space="preserve">        *Normally 250-270 days; **For stocker operations with less than a 240 day duration on the system, the above calculations may be incorrect.</t>
  </si>
  <si>
    <t>The above calculation was based on the following amount of hay available……..…………………..………….</t>
  </si>
  <si>
    <t>included</t>
  </si>
  <si>
    <t>not included</t>
  </si>
  <si>
    <t xml:space="preserve"> TIME CONTROL GRAZING WORKSHEET</t>
  </si>
  <si>
    <t>Time Control Grazing Worksheet</t>
  </si>
  <si>
    <t xml:space="preserve">Take time to review these sheets and understand them.  If they are confusing, let us know so we can go over them with you.  All these worksheets were completed using the best information available to the person(s) doing the planning.  They are based on estimates of needs and production.  Wet years, dry years are not considered and will obviously make a difference in the numbers being generated.  Averages were used.  </t>
  </si>
  <si>
    <t>Intake Rate Lactating Months</t>
  </si>
  <si>
    <t>Intake Rate Dry Months</t>
  </si>
  <si>
    <t>CowCalf2</t>
  </si>
  <si>
    <t>CowCalf3</t>
  </si>
  <si>
    <t>from CowCalf1 UserForm</t>
  </si>
  <si>
    <t>from CowCalf2 UserForm</t>
  </si>
  <si>
    <t>from CowCalf3 UserForm</t>
  </si>
  <si>
    <t>CowCalf1</t>
  </si>
  <si>
    <t>Additional Input from user for calculations (input from user form)</t>
  </si>
  <si>
    <t>Stockers2</t>
  </si>
  <si>
    <t>Stockers1</t>
  </si>
  <si>
    <t>Starting Weight</t>
  </si>
  <si>
    <t>Enter ADG</t>
  </si>
  <si>
    <t>Month IN</t>
  </si>
  <si>
    <t>Month OUT</t>
  </si>
  <si>
    <t>Stockers 2</t>
  </si>
  <si>
    <t>Cow/Calf Pairs1</t>
  </si>
  <si>
    <t>Cow/Calf Pairs2</t>
  </si>
  <si>
    <t>Cow/Calf Pairs3</t>
  </si>
  <si>
    <t>Dairy1</t>
  </si>
  <si>
    <t>Dairy2</t>
  </si>
  <si>
    <t>Step 1 Balance Worksheet Calculations</t>
  </si>
  <si>
    <t>Cow Calf</t>
  </si>
  <si>
    <t>Dairy</t>
  </si>
  <si>
    <t>Input box for lactating month start and lactating month finish</t>
  </si>
  <si>
    <t>Stockers Herd 1</t>
  </si>
  <si>
    <t>Stockers Herd 2</t>
  </si>
  <si>
    <t xml:space="preserve">Weighted lbs/head </t>
  </si>
  <si>
    <t>Completed by:</t>
  </si>
  <si>
    <t>Cow/Calf Pairs Herd 1</t>
  </si>
  <si>
    <t>Cow/Calf Pairs Herd 2</t>
  </si>
  <si>
    <t>Cow/Calf Pairs Herd 3</t>
  </si>
  <si>
    <t>Select Livestock Class (select as many as needed)</t>
  </si>
  <si>
    <t>Min Grazing Ht. (in)</t>
  </si>
  <si>
    <t>Min Haying Ht (in)</t>
  </si>
  <si>
    <t xml:space="preserve"> </t>
  </si>
  <si>
    <t>LIVESTOCK-FORAGE BALANCE WORKSHEET</t>
  </si>
  <si>
    <t>General Info</t>
  </si>
  <si>
    <t>LIVESTOCK NEEDS AND DEMAND SCHEDULE</t>
  </si>
  <si>
    <t>Forage Demand by Month (Lbs/month)</t>
  </si>
  <si>
    <t>Sept</t>
  </si>
  <si>
    <t>Jan</t>
  </si>
  <si>
    <t>Feb</t>
  </si>
  <si>
    <t>Add (+) or Remove (-) Rows</t>
  </si>
  <si>
    <t xml:space="preserve"> Ht. (in)</t>
  </si>
  <si>
    <t>SUMMARY OF LIVESTOCK NEEDS AND PASTURE FORAGE PRODUCTION</t>
  </si>
  <si>
    <t>Total Difference (Lbs):</t>
  </si>
  <si>
    <t>Accumulated Balance (Lbs) by month:</t>
  </si>
  <si>
    <t>lbs/ac</t>
  </si>
  <si>
    <t xml:space="preserve">Fields Hayed In Conjunction With Grazing </t>
  </si>
  <si>
    <t>Totals</t>
  </si>
  <si>
    <t>Harvested</t>
  </si>
  <si>
    <t>Field/</t>
  </si>
  <si>
    <t>lactating mo start</t>
  </si>
  <si>
    <t>lactating mo finish</t>
  </si>
  <si>
    <t>UserFrom Options Control Source</t>
  </si>
  <si>
    <t>Total Forage Demand</t>
  </si>
  <si>
    <t>Check Box Control Source</t>
  </si>
  <si>
    <t>Grazing System:  Total Forage Available (Lbs):</t>
  </si>
  <si>
    <t>Grazing System:  Total Forage Needs (Lbs):</t>
  </si>
  <si>
    <t>Total Forage Demand:  Grazing System</t>
  </si>
  <si>
    <t>Alternative Pasture:  Total Forage Available (Lbs):</t>
  </si>
  <si>
    <t>Alternative Pasture:  Total Forage Needs (Lbs):</t>
  </si>
  <si>
    <t>Dry Lot:  Total Forage Available (Lbs):</t>
  </si>
  <si>
    <t>Dry Lot:  Total Forage Needs (Lbs):</t>
  </si>
  <si>
    <t>0</t>
  </si>
  <si>
    <t>Past</t>
  </si>
  <si>
    <t>Alt Past</t>
  </si>
  <si>
    <t>Dry Lot</t>
  </si>
  <si>
    <t>Paddock</t>
  </si>
  <si>
    <t xml:space="preserve">Dry Dairy Herd </t>
  </si>
  <si>
    <t>Dairy (&lt;12 mo lactation)</t>
  </si>
  <si>
    <t>Lactating Dairy Herd</t>
  </si>
  <si>
    <t>Year Round Lactation</t>
  </si>
  <si>
    <t>Dry Cows</t>
  </si>
  <si>
    <t>Lactating Cows</t>
  </si>
  <si>
    <t>Dry Cow Userfor Options Control Source</t>
  </si>
  <si>
    <t>Lactating Cow Userfor Options Control Source</t>
  </si>
  <si>
    <t>Alt Grazing Month finish</t>
  </si>
  <si>
    <t>Alt Grazing month start</t>
  </si>
  <si>
    <t>Lactating Herd Pasture System</t>
  </si>
  <si>
    <t>Dairy &lt;12Mo Lactation</t>
  </si>
  <si>
    <t>Dairy Year Round Lactation</t>
  </si>
  <si>
    <t>UserForm Option Control Source</t>
  </si>
  <si>
    <t xml:space="preserve">Input Boxes for Month on and off pasture </t>
  </si>
  <si>
    <t>Input Boxes for Month on and off pasture (second time period)</t>
  </si>
  <si>
    <t>First month on</t>
  </si>
  <si>
    <t>Last month on</t>
  </si>
  <si>
    <t>Alt Past Once</t>
  </si>
  <si>
    <t>Dry Lot Once</t>
  </si>
  <si>
    <t>Alt Past Twice</t>
  </si>
  <si>
    <t>Dry Lot Twice</t>
  </si>
  <si>
    <t>Second Breeding</t>
  </si>
  <si>
    <t>Consolidated based on Form Inputs (one breeding period or two breeding periods</t>
  </si>
  <si>
    <t>First Breeding or year round pasture system</t>
  </si>
  <si>
    <t>Bulls Pasture System</t>
  </si>
  <si>
    <t>Dairy (&lt;12mo lactation) Pasture System</t>
  </si>
  <si>
    <t>Dairy - year round lactation</t>
  </si>
  <si>
    <t>Cow Calf 1</t>
  </si>
  <si>
    <t>Cow Calf 2</t>
  </si>
  <si>
    <t>Cow Calf 3</t>
  </si>
  <si>
    <t>Herd 1 Pasture System</t>
  </si>
  <si>
    <t>Herd 2 Pasture System</t>
  </si>
  <si>
    <t>Herd 3 Pasture System</t>
  </si>
  <si>
    <t>Herd 1</t>
  </si>
  <si>
    <t>Herd 2</t>
  </si>
  <si>
    <t>Herd 3</t>
  </si>
  <si>
    <t>Cow Calf Alternative pasture options</t>
  </si>
  <si>
    <t>User Form Option Control Source</t>
  </si>
  <si>
    <t>Past Year Round</t>
  </si>
  <si>
    <t>Alternative Pasture</t>
  </si>
  <si>
    <t>CowCalf 1</t>
  </si>
  <si>
    <t>First Month on</t>
  </si>
  <si>
    <t>Last Month on</t>
  </si>
  <si>
    <t>CowCalf 2</t>
  </si>
  <si>
    <t>Input Boxes for Month on and off alternative pasture/dry lot</t>
  </si>
  <si>
    <t>Dairy (&lt;12 mo lactation) Alternative Pasture</t>
  </si>
  <si>
    <t>Dairy (&lt;12 mo lactation) Dry Lot</t>
  </si>
  <si>
    <t>Lactating Herd Alternative Pasture</t>
  </si>
  <si>
    <t>Lactating Herd Dry Lot</t>
  </si>
  <si>
    <t>Dry Dairy Herd Alternative Pasture</t>
  </si>
  <si>
    <t>Dry Dairy Herd Dry Lot</t>
  </si>
  <si>
    <t>Bulls Alternative Pasture</t>
  </si>
  <si>
    <t>Bulls Dry Lot</t>
  </si>
  <si>
    <t>Herd 1 Alternative Pasture</t>
  </si>
  <si>
    <t>Herd 1 Dry Lot</t>
  </si>
  <si>
    <t>Herd 2 Alternative Pasture</t>
  </si>
  <si>
    <t>Herd 2 Dry Lot</t>
  </si>
  <si>
    <t>Herd 3 Alternative Pasture</t>
  </si>
  <si>
    <t>Herd 3 Dry Lot</t>
  </si>
  <si>
    <t>Total Forage Demand:  Dry Lot</t>
  </si>
  <si>
    <t>Dairy &lt;12 mo</t>
  </si>
  <si>
    <t>Total (lbs/year) =</t>
  </si>
  <si>
    <t xml:space="preserve">Goats </t>
  </si>
  <si>
    <t>Horses Alt Pasture Options</t>
  </si>
  <si>
    <t>First Month On</t>
  </si>
  <si>
    <t>Last Month On</t>
  </si>
  <si>
    <t>Alt Pasture</t>
  </si>
  <si>
    <t>Pasture System</t>
  </si>
  <si>
    <t>Total Usable Acres Grazed</t>
  </si>
  <si>
    <t>Paddock Equivalency Value</t>
  </si>
  <si>
    <t>Grazing Efficiency (%)</t>
  </si>
  <si>
    <t>Calculate Pasture Grazing Efficiency:</t>
  </si>
  <si>
    <t>You can override the calculated Pasture Grazing Efficiency at any time by manually entering a value in the associated cells.  Alternatively, you can allow the model to calculate the Pasture Grazing Efficiency at any time by re-selecting the "Calculate Pasture Grazing Efficiency" button.</t>
  </si>
  <si>
    <t>Selecting the "Calculate Pasture Grazing Efficiency" button will calculate the pasture grazing efficiency for each field/paddock by dividing the Total Usable Acres Grazed by the Acres of each field/paddock to generate a Paddock Equivalency Value.  The Paddock Equivalency Value is used to return the associated Pasture Grazing Efficiency value based on the table below.</t>
  </si>
  <si>
    <t>Total Forage Demand:  Alternative Pasture</t>
  </si>
  <si>
    <t xml:space="preserve">GRAZING SYSTEM PASTURE FORAGE PRODUCTION </t>
  </si>
  <si>
    <t>Grazing System Pasture Forage Available by Month (Lbs/month)</t>
  </si>
  <si>
    <t>Alternative Pasture Forage Available by Month (Lbs/month)</t>
  </si>
  <si>
    <t>SUMMARY:  FEED AND FORAGE BALANCE</t>
  </si>
  <si>
    <t>Intake Rate =</t>
  </si>
  <si>
    <t>Number of Herds =</t>
  </si>
  <si>
    <t>Animal Numbers =</t>
  </si>
  <si>
    <t xml:space="preserve">  Grazing Efficiency =</t>
  </si>
  <si>
    <t>Avg Animal Weight =</t>
  </si>
  <si>
    <t>(Lbs/Acre)</t>
  </si>
  <si>
    <t xml:space="preserve">(Lbs/Field </t>
  </si>
  <si>
    <t>(Lbs of animal</t>
  </si>
  <si>
    <t>The class(es) of livestock used to make these calculations is:</t>
  </si>
  <si>
    <t>Cow Calf Herd 1</t>
  </si>
  <si>
    <t>Cow Calf Herd 2</t>
  </si>
  <si>
    <t>Cow Calf Herd 3</t>
  </si>
  <si>
    <r>
      <t>Total Forage Production</t>
    </r>
    <r>
      <rPr>
        <sz val="11"/>
        <color rgb="FF000000"/>
        <rFont val="Arial"/>
        <family val="2"/>
      </rPr>
      <t xml:space="preserve">= The total above ground biomass in pounds of dry matter per acre (this is not the harvested yield).  </t>
    </r>
    <r>
      <rPr>
        <u/>
        <sz val="11"/>
        <color rgb="FF000000"/>
        <rFont val="Arial"/>
        <family val="2"/>
      </rPr>
      <t/>
    </r>
  </si>
  <si>
    <r>
      <rPr>
        <u/>
        <sz val="11"/>
        <rFont val="Arial"/>
        <family val="2"/>
      </rPr>
      <t>Paddock Factor</t>
    </r>
    <r>
      <rPr>
        <sz val="11"/>
        <rFont val="Arial"/>
        <family val="2"/>
      </rPr>
      <t>= A factor related to the relative size and production of each field</t>
    </r>
  </si>
  <si>
    <r>
      <rPr>
        <u/>
        <sz val="11"/>
        <color rgb="FF000000"/>
        <rFont val="Arial"/>
        <family val="2"/>
      </rPr>
      <t>Animal Density</t>
    </r>
    <r>
      <rPr>
        <sz val="11"/>
        <color rgb="FF000000"/>
        <rFont val="Arial"/>
        <family val="2"/>
      </rPr>
      <t>= The pounds of animals per acre concentrated on a field at one time</t>
    </r>
  </si>
  <si>
    <r>
      <t>Minimum and Maximum Rest Periods</t>
    </r>
    <r>
      <rPr>
        <sz val="11"/>
        <color rgb="FF000000"/>
        <rFont val="Arial"/>
        <family val="2"/>
      </rPr>
      <t>= The number of days forage should be given rest be grazing again</t>
    </r>
  </si>
  <si>
    <r>
      <t>Minimum Grazing Height</t>
    </r>
    <r>
      <rPr>
        <sz val="11"/>
        <color rgb="FF000000"/>
        <rFont val="Arial"/>
        <family val="2"/>
      </rPr>
      <t>= Forage should not be grazed below these heights</t>
    </r>
  </si>
  <si>
    <r>
      <t>Intake rate</t>
    </r>
    <r>
      <rPr>
        <sz val="11"/>
        <color rgb="FF000000"/>
        <rFont val="Arial"/>
        <family val="2"/>
      </rPr>
      <t>= The daily consumption as a percentage of the animals body weight; Guide- 2.0% for maintenance, 3.0% for average production, 4.0% for high production, for beef cows (year round) use 2.6%.</t>
    </r>
  </si>
  <si>
    <r>
      <rPr>
        <u/>
        <sz val="11"/>
        <color rgb="FF000000"/>
        <rFont val="Arial"/>
        <family val="2"/>
      </rPr>
      <t>Grazing Efficiency</t>
    </r>
    <r>
      <rPr>
        <sz val="11"/>
        <color rgb="FF000000"/>
        <rFont val="Arial"/>
        <family val="2"/>
      </rPr>
      <t>= The percent of total forage utilized by the animal; Guide- 1-3 fields-</t>
    </r>
    <r>
      <rPr>
        <u/>
        <sz val="11"/>
        <color rgb="FF000000"/>
        <rFont val="Arial"/>
        <family val="2"/>
      </rPr>
      <t>&lt;</t>
    </r>
    <r>
      <rPr>
        <sz val="11"/>
        <color rgb="FF000000"/>
        <rFont val="Arial"/>
        <family val="2"/>
      </rPr>
      <t xml:space="preserve"> 30; 4-8 fields- 30-40%; 8-12 fields- 40-50%; 12-16 fields- 50-60%; 16-24 fields- 60-65%; &gt;24 fields- 65-70%; haying operation- 70% (harvest efficiency).</t>
    </r>
  </si>
  <si>
    <r>
      <t>WS or CS</t>
    </r>
    <r>
      <rPr>
        <sz val="11"/>
        <color rgb="FF000000"/>
        <rFont val="Arial"/>
        <family val="2"/>
      </rPr>
      <t>= warm season forage or cool season forage</t>
    </r>
  </si>
  <si>
    <r>
      <t>Carrying</t>
    </r>
    <r>
      <rPr>
        <sz val="11"/>
        <color rgb="FF000000"/>
        <rFont val="Arial"/>
        <family val="2"/>
      </rPr>
      <t xml:space="preserve"> </t>
    </r>
    <r>
      <rPr>
        <u/>
        <sz val="11"/>
        <color rgb="FF000000"/>
        <rFont val="Arial"/>
        <family val="2"/>
      </rPr>
      <t>Capacity</t>
    </r>
    <r>
      <rPr>
        <sz val="11"/>
        <color rgb="FF000000"/>
        <rFont val="Arial"/>
        <family val="2"/>
      </rPr>
      <t>= The number of animals, based on weight of animals, a given farm may be able to provide forage for a given period.</t>
    </r>
  </si>
  <si>
    <t>DEFINITIONS</t>
  </si>
  <si>
    <t>GRAZE4.XLSM</t>
  </si>
  <si>
    <t>August, 1999; revised April 2000, revised December 2003; revised December 2010; revised April 2013</t>
  </si>
  <si>
    <t xml:space="preserve">The GRAZE4 program was originally developed for use to plan, implement and document grazing systems in southwest Missouri.  It utilized the electronic J.S.Agron.1 (Livestock Forage Balance worksheet) developed by staff in Area 5 (Cape Girardeau) plus incorporated the Time Control Grazing Worksheet (known to most in this area as GRAZWS1.wk1 and sent to the field offices 9/14/95 by IRM transmittal). GRAZE4 made improvements to both tools plus added an easy to use graph that plots the amount of forage needed per month against the amount available.  This simple graph does not require any manipulation by the user except simply printing it out.  The Livestock-Forage Balance worksheet can be used independent of the other worksheets.  The Time Control Grazing worksheet requires the Livestock Forage Balance worksheet to be completed first.  Version 3.0 incorporated a means to separate hay fields and fields that are both hayed and grazed from the fields that are solely used for pasture.  It also added features to make it easier to maneuver, "start over", and to print.  It also added a summary for the system.  </t>
  </si>
  <si>
    <t xml:space="preserve">For Technical Concerns with the Functionality of the Model Contact:  </t>
  </si>
  <si>
    <t>Oroginally developed in Area 4 by Pat Adams, Area Resource Conservationist (Springfield, MO) for use in inventory, documentation, and planning for Prescribed Grazing systems.</t>
  </si>
  <si>
    <t xml:space="preserve"> (double click for drop down menu)</t>
  </si>
  <si>
    <r>
      <t xml:space="preserve">Version (3.1) incorporated the following updates:  1)  The font (text) has been enlarged in the drop-down menus for the "Kind fo Forage" column on the Balance Worksheet and the "Fields hayed…only" column on the Hay Inventory.  </t>
    </r>
    <r>
      <rPr>
        <b/>
        <i/>
        <u/>
        <sz val="10"/>
        <rFont val="Arial"/>
        <family val="2"/>
      </rPr>
      <t>Double-click in the cell to access the drop-down menu</t>
    </r>
    <r>
      <rPr>
        <sz val="10"/>
        <rFont val="Arial"/>
        <family val="2"/>
      </rPr>
      <t>.  2)  Several species of forage have been added.  They are timothy, birdsfoot trefoil, white/ladino clover, redtop, alsike clover, Kentucky bluegrass, perennial ryegrass, turnips, and oats.  3)  Any new forage growth occurring in March that is not eaten is "rolled over" - added to the accumulated balance for April.  For specific questions about these changes please contact Lauren Cartwright, Agricultural Economist 573-876-9415.</t>
    </r>
  </si>
  <si>
    <t>1)  The previous three worksheets; "step 1 Balance Worksheet", "step 3 Avail. vs. Needs Graph", and step 4 Hay Inventory" have been consolidated into one worksheet "LivestockForageBalance".</t>
  </si>
  <si>
    <t>The current version (3.2) incorporates several upgrades and an updated user interface. :</t>
  </si>
  <si>
    <t xml:space="preserve">3) LivestockForageBalance Worksheet:  </t>
  </si>
  <si>
    <t>b)  Once the livestock class or classes are selected and the associated rows are visible,most livestock classes will require the user to enter additional information by selecting the "…Mgt Info"  button next to the livestock class name.  Clicking this button will open up another window with instructions.</t>
  </si>
  <si>
    <t>You must have Macros Enabled in order to utilize the full functionality of the model.</t>
  </si>
  <si>
    <t>d)  When entering the fields/paddocks for the Grazing System Pasture Forage Production, the user has the option to model a hay cutting on the pasture prior to grazing by selecting the "Yes" button associated with that particular field/paddock.  If the field/paddock will be hayed (by selecting the "Yes"option), then that field will be automatically entered into the Hay Production and Inventory area where the user can enter the associated hay yield information.</t>
  </si>
  <si>
    <t>e) The user can automatically calculate the Pasture Grazing Efficiency by selecting the button at the bottom of the Grazing System Pasture Forage Production sectionof the worksheet called "Calculate Pasture Grazing Efficiency".  The user can also override the calculated Pasture Grazing Efficiency at any time by simply typing the value into the cell.</t>
  </si>
  <si>
    <t>This version of the GRAZE4 program was developed using EXCEL 2010.  Please report any compatibility problems to Lauren Cartwright.</t>
  </si>
  <si>
    <t>Once you have the program on the screen, take a minute to wander around the program.  You will see tabs on the bottom of the page that takes you to different worksheets.  You may want to play with the "zoom" to make the page and font size fit your eyes and the screen size you are using.</t>
  </si>
  <si>
    <t>There are basically 5 tabs on the bottom.  The "LivestockForageBalance" tab is the main worksheet to run the model.  The "Time ControlWorksheet" requires information from the "LovestockForageBalance".  The remaining tabs; "Instructions", "Field Worksheet", and "Explanation Sheet for LO" are all independent support information.</t>
  </si>
  <si>
    <r>
      <t xml:space="preserve">Most of the program has been protected so changes cannot be made in the formulas or data entered in the cells.  A “cell” is the area in the EXCEL spreadsheet defined by the columns shown on the top (A,B,C...) and the rows shown on the left side (1,2,3...).   In a different color (may be </t>
    </r>
    <r>
      <rPr>
        <b/>
        <sz val="10"/>
        <rFont val="Arial"/>
        <family val="2"/>
      </rPr>
      <t>yellow</t>
    </r>
    <r>
      <rPr>
        <sz val="10"/>
        <rFont val="Arial"/>
        <family val="2"/>
      </rPr>
      <t xml:space="preserve"> on most computers), you will see the unprotected cells where an entry is needed or allowed.  Cells that are not shaded are </t>
    </r>
    <r>
      <rPr>
        <b/>
        <sz val="10"/>
        <rFont val="Arial"/>
        <family val="2"/>
      </rPr>
      <t>protected</t>
    </r>
    <r>
      <rPr>
        <sz val="10"/>
        <rFont val="Arial"/>
        <family val="2"/>
      </rPr>
      <t xml:space="preserve"> from edits.   To delete an entry in an unprotected yellow cell, highlight that cell and hit delete. The mouse can be used to “block “ several cells and then hit delete.  </t>
    </r>
  </si>
  <si>
    <t>Livestock Forage Balance Worksheet</t>
  </si>
  <si>
    <t xml:space="preserve">This worksheet calculates the monthly needs of the livestock along with the pasture forage availability by month and any hay either produced on farm or puchased off farm.  </t>
  </si>
  <si>
    <t>Livestock Needs and Demand Schedule</t>
  </si>
  <si>
    <t xml:space="preserve">This section calculates the monthly forage demand of the livestock being modeled.  Depending on the class of livestock, the user will enter required information for the model to use to calculate the demand.  The first step is to select the class (or classes) of livestock to model by clicking the checkbox next to the name.  You can remove an erroneous selection at any time by unchecking the checkbox.  You can select as many livestock classes as needed.  There are no limits or restrictions.  Each livestock class will require the user to input additional information.  </t>
  </si>
  <si>
    <r>
      <rPr>
        <u/>
        <sz val="10"/>
        <rFont val="Arial"/>
        <family val="2"/>
      </rPr>
      <t>Stockers:</t>
    </r>
    <r>
      <rPr>
        <sz val="10"/>
        <rFont val="Arial"/>
        <family val="2"/>
      </rPr>
      <t xml:space="preserve">  One or two separate herds are available to model.  Management info for Stockers includes the starting weight, ADG and the months on the grazing system.  </t>
    </r>
  </si>
  <si>
    <r>
      <rPr>
        <u/>
        <sz val="10"/>
        <rFont val="Arial"/>
        <family val="2"/>
      </rPr>
      <t>Bulls:</t>
    </r>
    <r>
      <rPr>
        <sz val="10"/>
        <rFont val="Arial"/>
        <family val="2"/>
      </rPr>
      <t xml:space="preserve">  The bull livestock class provides several management options.  You can keep the bull on the grazing system year round or you can only move the bull(s) to the grazing system only during a breeding period and otherwise keep them on an alternative pasture or dry lot.  There are also options for one or two breeding seasons where the bull(s) may be moved to the grazing system twice in one year.</t>
    </r>
  </si>
  <si>
    <r>
      <t>Horses:</t>
    </r>
    <r>
      <rPr>
        <sz val="10"/>
        <rFont val="Arial"/>
        <family val="2"/>
      </rPr>
      <t xml:space="preserve">  The horses livestock class also offer the option to manage the horse herd on the grazing system year round, or move the herd to an alternative pasture or dry lot for part of the year.</t>
    </r>
  </si>
  <si>
    <r>
      <t xml:space="preserve">Summary: </t>
    </r>
    <r>
      <rPr>
        <sz val="10"/>
        <rFont val="Arial"/>
        <family val="2"/>
      </rPr>
      <t xml:space="preserve">  After all livestock demand information has been entered, the model provides a summary of the total forage demand by month for the Grazing System, Alternative Pasture and/or Dry Lot.</t>
    </r>
  </si>
  <si>
    <t>Grazing System Pasture Forage Production</t>
  </si>
  <si>
    <t xml:space="preserve">For each field/paddock, enter the field number (identifier), kind of forage (double-click in the cell to access a drop down menu to select the forage type), acres, yield (total forage production), and the grazing efficiency.  The model takes into account the forage you have selected and the associated growth curve for that forage being pastured.  This worksheet simply multiples the pounds per acre of total above ground production X acres X grazing efficiency X the % growth for that month. </t>
  </si>
  <si>
    <t>If any fields are managed by haying and then used as pasture, this option can be captured in the model by selecting the "Yes" button provided as an option with each field/paddock entered.  Selecting the "yes" button will prompt the user to input the month that the haying will occur.  The model will reserve the forage production up to the haying month towards hay production only, and only the growth after the hay is cut will be available and calculated as part of the pasture forage availablilty.  The field will also be automatically added into the hay production and inventory section below where the actual hay production amount will be captured.  At any time, the user can select the "No" button to remove the haying option from any field/paddock reverting that field to grazing production only.</t>
  </si>
  <si>
    <t xml:space="preserve">At this time there is not an option to graze and then hay a field.  </t>
  </si>
  <si>
    <r>
      <rPr>
        <b/>
        <sz val="18"/>
        <rFont val="Arial"/>
        <family val="2"/>
      </rPr>
      <t>*</t>
    </r>
    <r>
      <rPr>
        <b/>
        <sz val="12"/>
        <rFont val="Arial"/>
        <family val="2"/>
      </rPr>
      <t xml:space="preserve"> TFP - Total Forage Production</t>
    </r>
  </si>
  <si>
    <r>
      <t>TFP</t>
    </r>
    <r>
      <rPr>
        <b/>
        <sz val="18"/>
        <color theme="1"/>
        <rFont val="Arial"/>
        <family val="2"/>
      </rPr>
      <t>*</t>
    </r>
  </si>
  <si>
    <t>Lbs</t>
  </si>
  <si>
    <t>Estimated carry over hay that is stored on the property:</t>
  </si>
  <si>
    <t>(This includes the grazing system and any alternative pasture)</t>
  </si>
  <si>
    <t>The estimated total pounds of forage from hay (carry over) or harvested forage (on and off farm) are:</t>
  </si>
  <si>
    <r>
      <t xml:space="preserve">Notes:  </t>
    </r>
    <r>
      <rPr>
        <sz val="12"/>
        <rFont val="Arial"/>
        <family val="2"/>
      </rPr>
      <t>(Use this area to make any notes specific to the model)</t>
    </r>
  </si>
  <si>
    <r>
      <t>TFP</t>
    </r>
    <r>
      <rPr>
        <b/>
        <sz val="18"/>
        <rFont val="Arial"/>
        <family val="2"/>
      </rPr>
      <t>*</t>
    </r>
  </si>
  <si>
    <t xml:space="preserve">FORAGE GROWTH CURVES </t>
  </si>
  <si>
    <t xml:space="preserve">                                            These curves are used to calculate the monthly pasture forage available for the grazing system, and the production pounds of hay for fields that are hayed and then pastured</t>
  </si>
  <si>
    <t>TFP</t>
  </si>
  <si>
    <t xml:space="preserve">Haying </t>
  </si>
  <si>
    <t>Month</t>
  </si>
  <si>
    <t>Haying Month Drop Fown</t>
  </si>
  <si>
    <t>HAY PRODUCTION AND INVENTORY FOR FIELDS HAYED, SILAGE, HAYLAGE ONLY</t>
  </si>
  <si>
    <t>For a difference of:</t>
  </si>
  <si>
    <t>Hay Inventory</t>
  </si>
  <si>
    <t>%</t>
  </si>
  <si>
    <t>The available harvested hay is:</t>
  </si>
  <si>
    <t>The available carryover hay is:</t>
  </si>
  <si>
    <t>The available purchased hay is:</t>
  </si>
  <si>
    <t xml:space="preserve">        The balance between ALL sources of feed and the needs of the livestock is (+/-):  </t>
  </si>
  <si>
    <r>
      <t>The estimated storage/feeding loss is</t>
    </r>
    <r>
      <rPr>
        <b/>
        <sz val="14"/>
        <rFont val="Arial"/>
        <family val="2"/>
      </rPr>
      <t>*</t>
    </r>
    <r>
      <rPr>
        <b/>
        <sz val="12"/>
        <rFont val="Arial"/>
        <family val="2"/>
      </rPr>
      <t xml:space="preserve">:  </t>
    </r>
  </si>
  <si>
    <t>The estimated total pounds of forage provided through grazing are:</t>
  </si>
  <si>
    <t>The estimated harvested pounds of hay is:</t>
  </si>
  <si>
    <r>
      <t>The estimated harvested pounds of hay available (from this farm) are</t>
    </r>
    <r>
      <rPr>
        <sz val="14"/>
        <rFont val="Arial"/>
        <family val="2"/>
      </rPr>
      <t>*</t>
    </r>
    <r>
      <rPr>
        <sz val="12"/>
        <rFont val="Arial"/>
        <family val="2"/>
      </rPr>
      <t>:</t>
    </r>
  </si>
  <si>
    <r>
      <t>The additional available hay or forage purchased or brought in from other sources is</t>
    </r>
    <r>
      <rPr>
        <sz val="14"/>
        <rFont val="Arial"/>
        <family val="2"/>
      </rPr>
      <t>*</t>
    </r>
    <r>
      <rPr>
        <sz val="12"/>
        <rFont val="Arial"/>
        <family val="2"/>
      </rPr>
      <t>:</t>
    </r>
  </si>
  <si>
    <r>
      <t>The additional available hay or forage stored on farm as carry over</t>
    </r>
    <r>
      <rPr>
        <sz val="14"/>
        <rFont val="Arial"/>
        <family val="2"/>
      </rPr>
      <t>*</t>
    </r>
    <r>
      <rPr>
        <sz val="12"/>
        <rFont val="Arial"/>
        <family val="2"/>
      </rPr>
      <t>:</t>
    </r>
  </si>
  <si>
    <t>Lbs dry matter</t>
  </si>
  <si>
    <t xml:space="preserve">ALTERNATIVE PASTURE FORAGE PRODUCTION </t>
  </si>
  <si>
    <t>(only utilize this section if you have selected to manage any of your livestock on an alternative pasture in the Livestock Needs and Demand Schedule above)</t>
  </si>
  <si>
    <t>DETAILED SUMMARY</t>
  </si>
  <si>
    <t>Wet Tolerance</t>
  </si>
  <si>
    <t>Drought Tolerance</t>
  </si>
  <si>
    <t>SPECIES</t>
  </si>
  <si>
    <t>SOIL       Sa&lt;-L-&gt; Cy</t>
  </si>
  <si>
    <t>CyU</t>
  </si>
  <si>
    <t>GNS</t>
  </si>
  <si>
    <t>GrO</t>
  </si>
  <si>
    <t>GrP</t>
  </si>
  <si>
    <t>GrU</t>
  </si>
  <si>
    <t>LyO</t>
  </si>
  <si>
    <t>LyP</t>
  </si>
  <si>
    <t>LyU</t>
  </si>
  <si>
    <t>MDU</t>
  </si>
  <si>
    <t>ShU</t>
  </si>
  <si>
    <t>SyO</t>
  </si>
  <si>
    <t>WCB</t>
  </si>
  <si>
    <t>WCU</t>
  </si>
  <si>
    <t>WLB</t>
  </si>
  <si>
    <t>WLO</t>
  </si>
  <si>
    <t>WtP</t>
  </si>
  <si>
    <t>LEGUMES</t>
  </si>
  <si>
    <t>N</t>
  </si>
  <si>
    <t>M</t>
  </si>
  <si>
    <t>ALFALFA</t>
  </si>
  <si>
    <t>L</t>
  </si>
  <si>
    <t>---</t>
  </si>
  <si>
    <t>H</t>
  </si>
  <si>
    <t>ALSIKE CLOVER</t>
  </si>
  <si>
    <t>LC</t>
  </si>
  <si>
    <t>BIRDSFOOT TREFOIL</t>
  </si>
  <si>
    <t>CROWNVETCH</t>
  </si>
  <si>
    <t>LADINO CLOVER</t>
  </si>
  <si>
    <t>ANN. LESPEDEZA</t>
  </si>
  <si>
    <t>SLC</t>
  </si>
  <si>
    <t>RED CLOVER</t>
  </si>
  <si>
    <t>COOL SEASON GRASSES</t>
  </si>
  <si>
    <t>BLUEGRASS</t>
  </si>
  <si>
    <t>ORCHARDGRASS</t>
  </si>
  <si>
    <t>RED FESCUE</t>
  </si>
  <si>
    <t>REDTOP</t>
  </si>
  <si>
    <t>REED CANARYGRASS</t>
  </si>
  <si>
    <t>SMOOTH BROME</t>
  </si>
  <si>
    <t>TALL FESCUE</t>
  </si>
  <si>
    <t>TIMOTHY</t>
  </si>
  <si>
    <t>WARM SEASON GRASSES</t>
  </si>
  <si>
    <t>BERMUDAGRASS</t>
  </si>
  <si>
    <t>SL</t>
  </si>
  <si>
    <t>BIG BLUESTEM</t>
  </si>
  <si>
    <t>CAUCASIAN BLUESTEM</t>
  </si>
  <si>
    <t>INDIANGRASS</t>
  </si>
  <si>
    <t>LITTLE BLUESTEM</t>
  </si>
  <si>
    <t>SIDEOATS GRAMA</t>
  </si>
  <si>
    <t>SWITCHGRASS</t>
  </si>
  <si>
    <t>EASTERN GAMAGRASS</t>
  </si>
  <si>
    <t>* For High inputs add 30%</t>
  </si>
  <si>
    <t xml:space="preserve">TABLE 1: RELATIVE ADAPTABILITY OF SELECTED FORAGE SPECIES TO FORAGE SUITABILITY GROUPS; EXPRESSED AS ESTIMATED YIELDS, THOUSANDS OF POUNDS PER ACRE, WHEN OUTSIDE INPUTS ARE MODERATE*. </t>
  </si>
  <si>
    <t>Dairy, Seasonal</t>
  </si>
  <si>
    <t>Use this input area to capture the forage production on alternative pastures(s) that may be used to meet some of the livestock forage needs separate from the main grazing system (as indicated by specific livestock class management in the Livestock Needs and Demands section above).  Add additional fields by selecting the "+" icon.  You may enter up to 6 separate fields.  The yellow cells are for user inputs.   An alternative pasture is typically some unmanaged acreage where animals are moved to graze when peak productivity is not required, such as when dairy cows are dry or heifers are not lactating, or when bulls are not with cows for breeding.</t>
  </si>
  <si>
    <t>a)  Check boxes are available to select the livestock class or classes to be modeled, so only those being modeled are visible.</t>
  </si>
  <si>
    <t>c)  The livestock classes for Cow Calf, Dairy, Bulls and Horses have the option to select to manage these herds on the grazing system year round, or you can now also select to move them to either an alternative pasture or dry lot for appropriate periods of time. These selections can be made within the "...Mgt Info"buttons next to the livestock class name.  If an alternative pasture or dry lot is selected, the model will the track the forage demand of the grazing system separate from the forage demand of the alternative pasture or forage demand of the dry lot. Where an alternative pasture will be utilized for a portion of the year, an additional input area is available to enter the forage production infomation of the alternative pasture.</t>
  </si>
  <si>
    <t>f)  The Total Production Pounds for hay calculation (for both the fields hayed and pastured, and hayed only) is calculated based on the forage growth curves utilizing themonth of haying input.</t>
  </si>
  <si>
    <t>4)  The Time Control Worksheet has been updated to automatically show the appropriate number of rows based on the number of fields/paddocks entered in the Livestock Forage Balance worksheet.</t>
  </si>
  <si>
    <t>5)  The Field Worksheet has been updated to include additional information that is included in the model</t>
  </si>
  <si>
    <t>If you want to save the data for an individual, save the file as a different file name.  The GRAZE4_ver3.2.xlsm file should be the file you bring up when you start working on a new system.  By following these guidelines, the original file should remain clean and clear of any potential bugs that may take place as you use the program.  Use the below steps if you want to save files for individual producers:</t>
  </si>
  <si>
    <r>
      <rPr>
        <u/>
        <sz val="10"/>
        <rFont val="Arial"/>
        <family val="2"/>
      </rPr>
      <t>Cow Calf Pairs:</t>
    </r>
    <r>
      <rPr>
        <sz val="10"/>
        <rFont val="Arial"/>
        <family val="2"/>
      </rPr>
      <t xml:space="preserve">  Up to three separate herds are available to model.  Once the checkbox(es) is(are) selected a button will be available next to the livestock class name called "Herd X Mgt Info".  Selecting this box will open a form for the user to enter the calving month and select a management option.  The herd may be managed on the grazing system year round, moved to an alternative pasture for part of the year, or moved to a dry lot for part of the year.  If either the alternative pasture or dry lot option is selected, the user will be prompted to enter the months associated with the alternative management. </t>
    </r>
    <r>
      <rPr>
        <b/>
        <sz val="10"/>
        <rFont val="Arial"/>
        <family val="2"/>
      </rPr>
      <t xml:space="preserve">Note:  Whe using the radio buttons to select the management option, be sure that the radio button shows as selected (filled).  If not, then re-select the option.  The selected management option will be reflected on the worksheet in the row just below the livestock class name.   </t>
    </r>
    <r>
      <rPr>
        <sz val="10"/>
        <rFont val="Arial"/>
        <family val="2"/>
      </rPr>
      <t xml:space="preserve">In addition to entering the Management information, also enter the information in yellow cells of the spreadsheet.  </t>
    </r>
  </si>
  <si>
    <r>
      <t>Dairy:</t>
    </r>
    <r>
      <rPr>
        <sz val="10"/>
        <rFont val="Arial"/>
        <family val="2"/>
      </rPr>
      <t xml:space="preserve">  There are two Dairy options, a seasonal dairy or an annual dairy.  The seasonal dairy is for herds that will be managed where all cows are not lactating during a period of the year.  The management info needed is lactation period and how the cows will be managed during the non-lactation period (remain on grazing system, move to alternative pasture, or move to a dry lot).  The annual dairy is for herds where some portion of the cows are lactating and being milked year round.  In this option, you always have a portion of the herd that is dry and a portion that is lactating.  Enter the management information for each segment of the dairy herd.  For example; a 100 cow dairy where 20% of the herd is dry at any time.  Enter 80 lactating cows and 20 dry cows into the planned number and the associated intake rates.  Under the management buttons enter how the lactating cows are managed and how the dry cows are managed.  </t>
    </r>
  </si>
  <si>
    <r>
      <t>Goats and Sheep:</t>
    </r>
    <r>
      <rPr>
        <sz val="10"/>
        <rFont val="Arial"/>
        <family val="2"/>
      </rPr>
      <t xml:space="preserve">   In this version, goats and sheep livestock classes do not have any alternative management options, the user will simply enter the basic info in the yellow cells.  The model assumes all grazing is done on the grazing system.</t>
    </r>
  </si>
  <si>
    <t>This section calculates the grazing system pasture forage supply provided by the producer's land.  The grazing system forage production calculation is intended to capture the forage produced on the main grazing system that is managed specifically for grazing and will typically be the managed rotational grazing system.  The model allows up to 24 fields/paddocks to be entered by selecting the "+" icon..</t>
  </si>
  <si>
    <t>After all fields are entered, the user can automatically calclate the Pasture Grazing Efficiency % by selecting the "Calculate Pasture Grazing Efficiency" button.  Selecting the "Calculate Pasture Grazing Efficiency" button will calculate the pasture grazing efficiency for each field/paddock by dividing the Total Usable Acres Grazed by the Acres of each field/paddock to generate a Paddock Equivalency Value.  The Paddock Equivalency Value is used to return the associated Pasture Grazing Efficiency value based on a table provided in the model.  The user can override this calculation at any time by simply typing an efficiency value into the associated cell.  To return to the calculated efficiency values, simply select the "Calculate" button again.</t>
  </si>
  <si>
    <t xml:space="preserve">It is up to the planner to make the best estimate they can.  As a rule of thumb, if you know hay yields, for example 2 tons, then take the yield (4000 lbs) divided by 0.7 to give an estimated TFP.  In this case 5700 lbs TFP.  The TFP will depend on several factors that you need to consider.  The soil, the fertility, the forage chracteristics (density, vigor, species...), and the management should all be considered.  There are several resources that can be used as guides to help determine TFP.  An experienced grassland planner should always be considered a resource.  The farmer himself should be considered, especially if he/she have records of production.  A soil survey can be used and will have information on production.  The FOTG, section II will have information on TFP.  This guide splits production by the Pasture Suitability Group (PSG) and may encompase several soils within the PSG.  Old GLA records and tables have this information (although not many planners will have this). </t>
  </si>
  <si>
    <t>Another resource that can be found in the FOTG section II is called "Productivity of Missouri Soils". This resource gives the index for soils and links the index to production levels for hay and pasture.  Since this guide has not been revised since 1995, there may be some new soils that are not included.  However, a soil scientist, can help estimate the index based on the characteristics of the soil.</t>
  </si>
  <si>
    <t xml:space="preserve">To use this worksheet, the user has to complete the Livestock Forage Balance Worksheet FIRST.  </t>
  </si>
  <si>
    <t>Once the Livestock Forage Balance worksheet is completed, the Time Control Grazing worksheet only requires three entries.  The cells that require manual entry by the user are: Minimum and Maximum Rest Periods (from the 528a standard and specifications), and Number of Herds.  Entries like name, system ID, county, date, fields, acres, and total forage production is carried directly over from the Livestock Forage Balance worksheet.  Data like grazing efficiency, animal weights, animal numbers, and intake rate are also derived from the other worksheet and weighted averages are calculated and automatically entered.  Minimum grazing heights are populated automatically as well.</t>
  </si>
  <si>
    <t>Graph on Availability Versus Needs, by Month</t>
  </si>
  <si>
    <r>
      <t xml:space="preserve">This graph gives a visual representation of what is occurring on this farm over the year.  It does a good job of showing deficits such as during the summer, when warm season perennials or annuals may fill the gap, or during the winter months when forages have ceased production.  Also, it will typically show the surplus of forage in the spring/early summer months, when hay is typically harvested.  This graph is only looking at </t>
    </r>
    <r>
      <rPr>
        <i/>
        <sz val="10"/>
        <rFont val="Arial"/>
        <family val="2"/>
      </rPr>
      <t>forages produced on pasture fields and does not reflect the forages harvested for hay</t>
    </r>
    <r>
      <rPr>
        <sz val="10"/>
        <rFont val="Arial"/>
        <family val="2"/>
      </rPr>
      <t>.  A third line in the graph also shows the accumulated balance of forage over the year.  The accumulated balance captures forage that was not eaten during high growth periods and thus available for the animals in future months.  When the accumulated balance is below zero, supplemental forage is required.</t>
    </r>
  </si>
  <si>
    <t>Alternative Pasture Forage Production</t>
  </si>
  <si>
    <t>This section captures forage produced for livestock that are managed for some period of time on an alternative pasture.  An alternative pasture is typically some unmanaged acreage where animals are moved to graze when peak productivity is not required, such as when dairy cows are dry or heifers are not lactating, or when bulls are not with cows for breeding.</t>
  </si>
  <si>
    <t xml:space="preserve">Only utilize this section if you have selected to manage any of your livestock on an alternative pasture in the Livestock Needs and Demand Schedule.   This additional input allows a comparison of the livestock demand and forage available during the period of time the alternative pasture is utilized.  </t>
  </si>
  <si>
    <t>Hay Production and Inventory for Fields Hayed, Silage, Haylage Only</t>
  </si>
  <si>
    <t>Where a field will be hayed and then grazed, you will need to enter the Hay Harvest Efficiency (%).   The Hay Total Production Pounds is calculated by multiplying the percent of growth that has occured at the time of haying based upon the Forage Growth Curves.</t>
  </si>
  <si>
    <t>This section allows you to inventory hay fields in the system.  You enter the field numbers, species, acres, total forage production, and the harvest efficiency.  As a rule of thumb for haying operations, the harvest efficiency is usually 70%.  The Hay Total Production Pounds is calculated by multiplying the percent of growth that has occured at the time of haying based upon the Forage Growth Curves.</t>
  </si>
  <si>
    <t xml:space="preserve">The Summary Feed and Forage Balance has options where you can also enter the amount of hay or forage purchased or brought into the system from off-farm sources.  This can be important in situations where no hay is cut (or a percentage of the hay) on this farm (the forage produced on the farm does not support the entire herd for the period that are retained on this system).  Most likely if this hay is not accounted for the carrying capacity will not reflect the ability to carrying more animals during hay feeding times.  In otherwords the summary page will show a lower carrying capacity because hay is not shown as being brought in.  However, planners should be aware and recognize signs of potential overgrazing during the growing season and not use the "additional off-farm" feed simply to balance the system for the desired herd size when in actuality the system cannot carry the herd except during periods of fast growth.  </t>
  </si>
  <si>
    <t xml:space="preserve">Time Control Grazing Worksheet </t>
  </si>
  <si>
    <t xml:space="preserve">You access the Detailed Summary by selecting the "View Detailed Summary" button from the Livestock Forage Balance worksheet.  The button is located next to the Summary Feed and Forage Balance.  By opening the summary using the button it enables the model to automatically insert information into the Summary sheet based on the inputs provided.   </t>
  </si>
  <si>
    <t>As the name implies, this sheet summarizes the information from other steps in a concise meaningful format for the landowner.  It estimates the carrying capacity for the operation and also estimates the carrying capacity at different levels of grazing efficiencies.  There is one user entry required to estimate the carrying capacity on the pasture only.  The definitions for terms used on all worksheets are also located on the bottom of this page.</t>
  </si>
  <si>
    <t>Click the button called "Save As…"</t>
  </si>
  <si>
    <t>Summary of Livestock Needs and Pasture Forage Production</t>
  </si>
  <si>
    <r>
      <t xml:space="preserve">The alternative pasture summary captures any livestock forage demand on alternative pasture and compares that with the alternative pasture forage production.  If an alternative pasture is </t>
    </r>
    <r>
      <rPr>
        <b/>
        <i/>
        <sz val="10"/>
        <rFont val="Arial"/>
        <family val="2"/>
      </rPr>
      <t>not</t>
    </r>
    <r>
      <rPr>
        <sz val="10"/>
        <rFont val="Arial"/>
        <family val="2"/>
      </rPr>
      <t xml:space="preserve"> utilized as part of the livestock management system (indicated by </t>
    </r>
    <r>
      <rPr>
        <b/>
        <i/>
        <sz val="10"/>
        <rFont val="Arial"/>
        <family val="2"/>
      </rPr>
      <t>not</t>
    </r>
    <r>
      <rPr>
        <sz val="10"/>
        <rFont val="Arial"/>
        <family val="2"/>
      </rPr>
      <t xml:space="preserve"> selecting this management option for any livestock classes in the Livestock Needs and Demand Schedule area and </t>
    </r>
    <r>
      <rPr>
        <b/>
        <i/>
        <sz val="10"/>
        <rFont val="Arial"/>
        <family val="2"/>
      </rPr>
      <t xml:space="preserve">not </t>
    </r>
    <r>
      <rPr>
        <sz val="10"/>
        <rFont val="Arial"/>
        <family val="2"/>
      </rPr>
      <t xml:space="preserve">entering data into the Alternative Pasture Forage Production section) then this summary area will remain blank.  </t>
    </r>
  </si>
  <si>
    <r>
      <t xml:space="preserve">The dry lot summary captures any livestock forage demand during the period of time they are confined to a dry lot.  Any forage demand on a dry lot must be met with hay.  If a dry lot is </t>
    </r>
    <r>
      <rPr>
        <b/>
        <i/>
        <sz val="10"/>
        <rFont val="Arial"/>
        <family val="2"/>
      </rPr>
      <t>not</t>
    </r>
    <r>
      <rPr>
        <sz val="10"/>
        <rFont val="Arial"/>
        <family val="2"/>
      </rPr>
      <t xml:space="preserve"> utilized as part of the livestock management system (indicated by </t>
    </r>
    <r>
      <rPr>
        <b/>
        <i/>
        <sz val="10"/>
        <rFont val="Arial"/>
        <family val="2"/>
      </rPr>
      <t>not</t>
    </r>
    <r>
      <rPr>
        <sz val="10"/>
        <rFont val="Arial"/>
        <family val="2"/>
      </rPr>
      <t xml:space="preserve"> selecting this management option for any livestock classes in the Livestock Needs and Demand Schedule area) then this summary area will remain blank.</t>
    </r>
  </si>
  <si>
    <t>Summary: Feed and Forage Balance</t>
  </si>
  <si>
    <t xml:space="preserve">This section is an expansion of the summary provided in previous versions.  Since the management options allow management on alternative pasture and/or dry lot for a portion of the year for some livestock classes, the summary has been expanded to include these alternative options,so the user can balance all forage needs of the entire operation for all livestock. </t>
  </si>
  <si>
    <t xml:space="preserve">This summary provides an overview of the total forage demands and total forage supplied (from both the grazing system and alternative pasture if that is being utilized).  </t>
  </si>
  <si>
    <t>The summary then calculates the hay inventory that is available to make up and deficiencies in the pasture forage supply and livestock demands.  Additionally, this section can be used to estimate if there will be extra hay produced on farm that could be sold, or capture hay that must be purchased to make up any deficiencies.  A hay carry over inventory input has been added to capture any hay that may already be stored on site.  This input can also be utilized for multi year planning, where you run the model for year one and have some extra hay, then run another iteration of the model to represent a second year of management and that extra hay produced in year 1 can be entered as carry over for year 2.</t>
  </si>
  <si>
    <t>Detailed Summary Worksheet</t>
  </si>
  <si>
    <t>Explanation Sheet for Landowner Worksheet</t>
  </si>
  <si>
    <t xml:space="preserve">2)  The "Detailed Summary" worksheet is available by selecting a button called "View Detailed Summary" at the end of the "LivestockForageBalance" worksheet.  By opening the summary using the button it enables the model to automatically insert information into the Summary sheet based on the inputs provided.   </t>
  </si>
  <si>
    <t>Back to top</t>
  </si>
  <si>
    <r>
      <t xml:space="preserve">Table of Contents:  </t>
    </r>
    <r>
      <rPr>
        <b/>
        <sz val="10"/>
        <rFont val="Arial"/>
        <family val="2"/>
      </rPr>
      <t>Select to jump to topic</t>
    </r>
  </si>
  <si>
    <t>Intake Rate (%)</t>
  </si>
  <si>
    <t>Cow Calf Operation (Includes Bulls)</t>
  </si>
  <si>
    <t>Management Details</t>
  </si>
  <si>
    <t>Grazing System All Year</t>
  </si>
  <si>
    <t>Month In</t>
  </si>
  <si>
    <t>Month Out</t>
  </si>
  <si>
    <t xml:space="preserve">Dry Lot </t>
  </si>
  <si>
    <t>Herd ID</t>
  </si>
  <si>
    <t>Livestock Class/Herd ID</t>
  </si>
  <si>
    <t>Lactating Intake Rate (%)</t>
  </si>
  <si>
    <t>Dry Intake Rate (%)</t>
  </si>
  <si>
    <t>Lactating month start</t>
  </si>
  <si>
    <t>Lactating month end</t>
  </si>
  <si>
    <t>Alternative Pasture when Dry</t>
  </si>
  <si>
    <t>Dry Lot when Dry</t>
  </si>
  <si>
    <t>Lactating Herd</t>
  </si>
  <si>
    <t>Dry Herd</t>
  </si>
  <si>
    <t>Month Hayed</t>
  </si>
  <si>
    <t>Pasture, Pasture/Hay, and/or Alternative Pasture Forage Production</t>
  </si>
  <si>
    <t>Additional Hay Production</t>
  </si>
  <si>
    <t>Purchased Hay:</t>
  </si>
  <si>
    <t>Carry Over Hay:</t>
  </si>
  <si>
    <t>Comments</t>
  </si>
  <si>
    <t xml:space="preserve">Comments/notes: </t>
  </si>
  <si>
    <t>Grazing System    All Year</t>
  </si>
  <si>
    <t>Grazing System   All Year</t>
  </si>
  <si>
    <t>Month in</t>
  </si>
  <si>
    <t>Month out</t>
  </si>
  <si>
    <t>Calving month</t>
  </si>
  <si>
    <t>Acres*</t>
  </si>
  <si>
    <t>* might choose to ignore acres during field visit and address back at office.</t>
  </si>
  <si>
    <t>** whether TFP or yield, note which one and make appropriate interpretation and conversion.</t>
  </si>
  <si>
    <t>TFP or yield**</t>
  </si>
  <si>
    <t>*might choose to ignore acres during field visit and address back at office.</t>
  </si>
  <si>
    <t>Start Weight</t>
  </si>
  <si>
    <t xml:space="preserve">* For the model a singe herd will be modeled as a portion of the herd as lactating and a portion dry at any point in time.  For example; a 100 cow dairy where on average 20% of the herd are dry at any point in time.  Enter the data as 80 cows for the lactating herd and 20 cows for the dry herd.  </t>
  </si>
  <si>
    <t>Additional Hay Information (buy hay or bring in hay, how much…)</t>
  </si>
  <si>
    <t>Producer Name: _____________________________________</t>
  </si>
  <si>
    <t>System ID: ____________________ Date: __________</t>
  </si>
  <si>
    <t>Cow Calf Operation (includes Bulls)</t>
  </si>
  <si>
    <t>Stockers Operation</t>
  </si>
  <si>
    <t>Seasonal Dairy Operation</t>
  </si>
  <si>
    <t>Annual Dairy Operation</t>
  </si>
  <si>
    <t>Horse Operation</t>
  </si>
  <si>
    <t>Sheep and/or Goats Operation</t>
  </si>
  <si>
    <t>Hay Category</t>
  </si>
  <si>
    <t>Annual Dairy Operation *</t>
  </si>
  <si>
    <t>Sheep/Goats Operation</t>
  </si>
  <si>
    <t>To utilize the field worksheet for collecting data, first use the checkboxes to select the livestock class(es) on the farm you will be visiting.  Select as many as needed.  Then Select the "Print Field Worksheet" button, this will open to a print preview screen where you can review and make any adjustments to the page setup prior to printing.</t>
  </si>
  <si>
    <t>Livestock Inventory and Demand Summary for:</t>
  </si>
  <si>
    <t>Alt Pasture or Dry Lot</t>
  </si>
  <si>
    <t>Time Frame for</t>
  </si>
  <si>
    <t>Grazing System Total Demand</t>
  </si>
  <si>
    <t>Alternative Pasture Total Demand</t>
  </si>
  <si>
    <t>Dry Lot Total Demand</t>
  </si>
  <si>
    <t>Annual Totals</t>
  </si>
  <si>
    <t xml:space="preserve">Grazing System </t>
  </si>
  <si>
    <t xml:space="preserve">Alternative Pasture </t>
  </si>
  <si>
    <t>Pasture Forage Production Summary for:</t>
  </si>
  <si>
    <t>TFP *</t>
  </si>
  <si>
    <t>* TFP = Total Forage Production - Total forage production is the total amount of forage produced (factors in both the amount of forage that is available to grazing or haying plus the remaining growth that is left behind after grazing or haying)</t>
  </si>
  <si>
    <t xml:space="preserve">Hay </t>
  </si>
  <si>
    <t xml:space="preserve">Then </t>
  </si>
  <si>
    <t>Graze?</t>
  </si>
  <si>
    <t>Hay Cut</t>
  </si>
  <si>
    <t>If Yes,</t>
  </si>
  <si>
    <t>Grazing System</t>
  </si>
  <si>
    <t>Total Forage Available (Lbs)</t>
  </si>
  <si>
    <t>Total Forage Needs (Lbs)</t>
  </si>
  <si>
    <t>Total Difference (Lbs)</t>
  </si>
  <si>
    <t>Accumulated Balance (Lbs) by Month</t>
  </si>
  <si>
    <t>Feed and Forage Balance Summary</t>
  </si>
  <si>
    <t>The estimated storage/feeding loss is:</t>
  </si>
  <si>
    <t>Print Options</t>
  </si>
  <si>
    <t>Select the buttons for the items from this worksheet to print.  Each selection will open a print preview window where you can make adjustments to the print setup before printing.</t>
  </si>
  <si>
    <t xml:space="preserve">Printing Information on the Livestock Forage Balance worksheet:  WIthin the summary area of the Livestock Forage Balance worksheet a box is available with multiple buttons to print the information entered into the worksheet in a print-friendly format.  Select the button for the area of the Livestock Forage Balance worksheet you want to print, and a Print Preview screen will open with the selected infomation. You can review the print setup and make any adjustments before printing.  </t>
  </si>
  <si>
    <t>Additionally, print buttons are available to print the Time Control Worksheet, Instructions, Detailed Summary, Field Worksheet, and Explanation Sheet for the Landowner.  The print buttons for these areas of the tool are available within these specific worksheets.</t>
  </si>
  <si>
    <t>Hay Production Summary for:</t>
  </si>
  <si>
    <t>Fields Hayed in Conjunction with Grazing</t>
  </si>
  <si>
    <t>TFP*</t>
  </si>
  <si>
    <t>Livestock Inventory and Demand Summary</t>
  </si>
  <si>
    <t>Pasture Forage Production Summary</t>
  </si>
  <si>
    <t>Hay Production Summary</t>
  </si>
  <si>
    <t>Alternative Pasture Forage Availability versus Livestock Needs Graph</t>
  </si>
  <si>
    <t>Grazing System Forage Availability versus Livestock Needs Graph</t>
  </si>
  <si>
    <t>Detailed Summary Sheet</t>
  </si>
  <si>
    <t xml:space="preserve">This sheet captures the forage production on the grazing system per month based on seasonal growth curves per species.  Additionally, if an alternative pasture is being utilized the summary shows the forage production for the alternative pasture(s) modeled.   </t>
  </si>
  <si>
    <t>This sheet contains information about the livestock you plan to have (and possibly the livestock you currently have) on a particular piece of ground.  Information like numbers, weights, their daily intake rates are included.  The sheet makes estimates of their forage demand.  This sheet also captures any management decisions for some livestock classes to capture if you livestock will stay on the grazing system year round, spend some of the year on an alternative pasture or spend some time of the year on a dry lot.  An alternative pasture is typically some unmanaged acreage where animals are moved to graze when peak productivity is not required, such as when dairy cows are dry or heifers are not lactating, or when bulls are not with cows for breeding.  The total forage demand by management option is summarized.</t>
  </si>
  <si>
    <t>This sheet shows a summary of the hay produced on the farm.  This includes hay produced on fields that are hayed and grazed, and fields that are used for haying only.</t>
  </si>
  <si>
    <t xml:space="preserve">This sheet ties the infomration from the previous sheets together and shows a comparison by month of the forage demand and produced.  The sedon part of the sheet is a feed and forage balance which provides an overall estimate of total forage available (including hay) and forage demand. </t>
  </si>
  <si>
    <t>This graph looks at information from the Livestock-Forage Balance sheet and gives a visual display of the estimated needs of the animal from the grazing system versus the grazing system production by each month.  This graph only considers the grazing system (does not include hay).  This graph may help visualize the needs and surpluses of your system over the course of a year.  Additionally, the graph shows the accumulated balance.  Accumulated balance factors in forage that is not utilized the previous month that is still available to the animals to graze.  A negative accumulated balance indicates the need for supplemental forage, such as hay, to meet the livestock needs.</t>
  </si>
  <si>
    <t xml:space="preserve">This sheet summarizes all the information from the previous sheets and provides an analysis of the system.  It identifies the needs and what is available and shows deficits and surpluses.  It also allows an estimate of the carrying capacity of the farm(s) at the current level or planned level.  It may also make some predictions in the carrying capacity if you were to increase the grazing efficiency on the farm- by improving the level of management.  </t>
  </si>
  <si>
    <t>This sheet utilized the information from the Livestock Forage Balance worksheet, and adds a grazing time component.  A few major items to look at are the minimum and maximum grazing days, the animal density, and the minimum grazing heights.  The grazing days are the range of days livestock should reside (graze) in that particular field.  The "minimum days" for when forage is growing fast, "maximum days" for when forage is growing slow.  By using these guides, a proper rest period should be achieved.  The animal density can be a measure of how well the forage will be utilized.  The lower the density, the more opportunities for wasted forage, more "picky" eating, and less utilization.  The minimum grazing heights are extremely important and should be adhered to for proper management.  They are based on the kind of forage in that field.  Definitions for some of the terms used are available on the Time Control Grazing Worksheet.</t>
  </si>
  <si>
    <t>Explanation Sheet for Attached Documents for</t>
  </si>
  <si>
    <t>Same as the Grazing System Forage Availability versus Livestock Needs Graph, but for the Alternative pasture(s) if that is part of the system being modeled.</t>
  </si>
  <si>
    <t>Document Name and Explanation</t>
  </si>
  <si>
    <t>HayMonth cell links</t>
  </si>
  <si>
    <t>Seasonal Dairy</t>
  </si>
  <si>
    <t>Notes:</t>
  </si>
  <si>
    <t>Annual Dairy</t>
  </si>
  <si>
    <t>* A commonly accepted storage/feeding loss is 10%</t>
  </si>
  <si>
    <t>Averages</t>
  </si>
  <si>
    <t>double click for drop down</t>
  </si>
  <si>
    <t xml:space="preserve"> Number</t>
  </si>
  <si>
    <t>____________________________________________________________________________</t>
  </si>
  <si>
    <t>version 3.3</t>
  </si>
  <si>
    <t>Yes</t>
  </si>
  <si>
    <t>No</t>
  </si>
  <si>
    <t>Saipan</t>
  </si>
  <si>
    <t>Annual</t>
  </si>
  <si>
    <t>Hilo</t>
  </si>
  <si>
    <t>Waimea</t>
  </si>
  <si>
    <t>Kealakekua</t>
  </si>
  <si>
    <t>May.</t>
  </si>
  <si>
    <t>Jun.</t>
  </si>
  <si>
    <t>Jul.</t>
  </si>
  <si>
    <t>Sep.</t>
  </si>
  <si>
    <t>Paddock Number</t>
  </si>
  <si>
    <t>The total usable grazing acres are:</t>
  </si>
  <si>
    <t>The estimated total pounds of forage are:</t>
  </si>
  <si>
    <t>Field Office:</t>
  </si>
  <si>
    <t>Aiea</t>
  </si>
  <si>
    <t>Lihue</t>
  </si>
  <si>
    <t>Kahului</t>
  </si>
  <si>
    <t>American Samoa</t>
  </si>
  <si>
    <t>Palau</t>
  </si>
  <si>
    <t>Pohnpei</t>
  </si>
  <si>
    <t>Guam</t>
  </si>
  <si>
    <t xml:space="preserve">       There is enough to supply the forage needs of ………………………………………………………………...………………………………………………...…..</t>
  </si>
  <si>
    <t xml:space="preserve">        Forage produced from the pasture (grazing only during growing season) during a period of ……………..……</t>
  </si>
  <si>
    <t xml:space="preserve"> 6)     </t>
  </si>
  <si>
    <t xml:space="preserve"> 7)     </t>
  </si>
  <si>
    <t xml:space="preserve"> 8)     </t>
  </si>
  <si>
    <t xml:space="preserve"> 10)    </t>
  </si>
  <si>
    <t xml:space="preserve"> 9)     </t>
  </si>
  <si>
    <t>Drought Contingency Plan</t>
  </si>
  <si>
    <t>This prescribed grazing plan is based on average forage production for your ranch.  However, averages are based on a mixture of good grazing years and poor grazing years.  Therefore, on some years you will have a surplus of forage and others you will have a forage deficit.  When forage production is poor for a extend period of time due to drought or other cause, you should have a contingency plan for how manage through a drought.  Below is a contingency plan for you to adapt for you ranch.</t>
  </si>
  <si>
    <t xml:space="preserve"> 3)     Supplemental feeding will reduce the extend the available forages.</t>
  </si>
  <si>
    <t xml:space="preserve"> 4)     Relocate livestock to areas where drought conditions are less severe.</t>
  </si>
  <si>
    <t xml:space="preserve"> 5)     Consider confining and feeding livestock on one "sacrifice" paddock to prevent all paddocks from becoming degraded.</t>
  </si>
  <si>
    <t>By signing the below, I acknowledge that I :</t>
  </si>
  <si>
    <t>- have reviewed this Job Sheet and have an understanding of its contents and requirements;</t>
  </si>
  <si>
    <t>- will install, operate, and maintain this practice in accordance with this Job Sheet; and</t>
  </si>
  <si>
    <t>Client Signature/Date</t>
  </si>
  <si>
    <t>Approving NRCS Signature/Date</t>
  </si>
  <si>
    <t>- will obtain all necessary permits and/or rights, comply with all ordinances and laws, and notify all utilities pertaining to this job Sheet.</t>
  </si>
  <si>
    <t>USDA is an Equal Opportunity Provider and Employer</t>
  </si>
  <si>
    <t xml:space="preserve"> 1)     At the onset of  drought conditions the forage grazing demand should be reduced by culling all unproductive breeding stock (i.e. cows which did not breed                      
         back)</t>
  </si>
  <si>
    <t xml:space="preserve">For Assistance Contact: Your Area Resource Conservationist </t>
  </si>
  <si>
    <r>
      <t>(</t>
    </r>
    <r>
      <rPr>
        <i/>
        <sz val="14"/>
        <rFont val="Arial"/>
        <family val="2"/>
      </rPr>
      <t>*</t>
    </r>
    <r>
      <rPr>
        <i/>
        <sz val="12"/>
        <rFont val="Arial"/>
        <family val="2"/>
      </rPr>
      <t xml:space="preserve"> Incorporates storage/feeding loss)</t>
    </r>
  </si>
  <si>
    <r>
      <t>Minimum Grazing Period</t>
    </r>
    <r>
      <rPr>
        <sz val="11"/>
        <color rgb="FF000000"/>
        <rFont val="Arial"/>
        <family val="2"/>
      </rPr>
      <t>= The approximate grazing time in each field during fast forage growth.  Based on minimum rest periods</t>
    </r>
  </si>
  <si>
    <r>
      <t>Maximum Grazing Periods</t>
    </r>
    <r>
      <rPr>
        <sz val="11"/>
        <color rgb="FF000000"/>
        <rFont val="Arial"/>
        <family val="2"/>
      </rPr>
      <t>= The approximate grazing time in each field during slow forage growth.  Based on maximum rest periods</t>
    </r>
  </si>
  <si>
    <t>Recommended Grazing Heights and suggested Rest Requiems</t>
  </si>
  <si>
    <t>Only enter the additional information needed as indicated by the yellow cells.  The remaining cells and information will populate automatically based on the information entered into the Livestock Forage Balance Worksheet.</t>
  </si>
  <si>
    <t>Fields will populate automatically if haying is selected above for any fields. Only enter the Hay Harvest Efficiency (%), the other fields populate automatically based upon the information entered above.  The Total Production Pounds is calculated by multiplying the percent of growth that has occurred at the time of haying based upon the Forage Growth Curves.</t>
  </si>
  <si>
    <t>Use this input are to capture any additional hay production on fields that are not part of the grazing system.   Add additional fields by selecting the "+" icon.  You may enter up to 10 separate fields.  The yellow cells are for user inputs.   The Total Production Pounds is calculated by multiplying the percent of growth that has occurred at the time of haying (Haying Month) based upon the Forage Growth Curves.  Enter the Haying Month as a number (eg. Jan = 1, Feb = 2, Mar = 3, etc.)</t>
  </si>
  <si>
    <t>Number of Head</t>
  </si>
  <si>
    <t>Turn In Date</t>
  </si>
  <si>
    <t>Take Out Date</t>
  </si>
  <si>
    <t>Attach Additional Pages As Needed</t>
  </si>
  <si>
    <t>Cows</t>
  </si>
  <si>
    <t>Stubble</t>
  </si>
  <si>
    <t>PIA Prescribed Grazing Inventory/Analysis Workbook Planning Tool</t>
  </si>
  <si>
    <t>Forage</t>
  </si>
  <si>
    <t>Guineagrass</t>
  </si>
  <si>
    <t>Calculations:</t>
  </si>
  <si>
    <t>528 Tool</t>
  </si>
  <si>
    <t>Forage Usable Pounds:</t>
  </si>
  <si>
    <t>Attenuated Curve Index</t>
  </si>
  <si>
    <t>Normalized Attenuated Index</t>
  </si>
  <si>
    <t>Yield Curve</t>
  </si>
  <si>
    <t>Joe May</t>
  </si>
  <si>
    <t>Annual Forage Production</t>
  </si>
  <si>
    <t>Sun Dist.</t>
  </si>
  <si>
    <t>Based on photoperiod,</t>
  </si>
  <si>
    <t>From Rain Season</t>
  </si>
  <si>
    <t>(=Monthly Index/Sum)</t>
  </si>
  <si>
    <t>Unimproved</t>
  </si>
  <si>
    <t>Improved</t>
  </si>
  <si>
    <t>(%monthly daylength, constant)</t>
  </si>
  <si>
    <t>water/temp limit, residual rain</t>
  </si>
  <si>
    <t>(Jan, Feb, Nov, Dec)</t>
  </si>
  <si>
    <t>Pasture Group</t>
  </si>
  <si>
    <t>Unfavorable</t>
  </si>
  <si>
    <t>Normal</t>
  </si>
  <si>
    <t>Favorable</t>
  </si>
  <si>
    <t>Average</t>
  </si>
  <si>
    <t>Rain, inch</t>
  </si>
  <si>
    <t>Temp, F</t>
  </si>
  <si>
    <t>Index</t>
  </si>
  <si>
    <t>(=Rain - Index)</t>
  </si>
  <si>
    <t>Normalized Index</t>
  </si>
  <si>
    <t>Yield (lbs/acre)</t>
  </si>
  <si>
    <t>AaB</t>
  </si>
  <si>
    <t>Is water a limiting factor?</t>
  </si>
  <si>
    <t>AcA</t>
  </si>
  <si>
    <t>Possible Annual Forage Production, lbs/acre</t>
  </si>
  <si>
    <t>AcB</t>
  </si>
  <si>
    <t>HvA</t>
  </si>
  <si>
    <t>Does temp suppress growth?</t>
  </si>
  <si>
    <t>HvB</t>
  </si>
  <si>
    <t>HvB3</t>
  </si>
  <si>
    <t>HvC</t>
  </si>
  <si>
    <t>HvC3</t>
  </si>
  <si>
    <t>JaC</t>
  </si>
  <si>
    <t>JfB</t>
  </si>
  <si>
    <t>JkB</t>
  </si>
  <si>
    <t>JL</t>
  </si>
  <si>
    <t>JcC</t>
  </si>
  <si>
    <t>KKTC</t>
  </si>
  <si>
    <t>KMW</t>
  </si>
  <si>
    <t>KNXD</t>
  </si>
  <si>
    <t>Hawaii Forage Production Estimator Tool</t>
  </si>
  <si>
    <t>MXC</t>
  </si>
  <si>
    <t>Forage dry lbs/acre/inch rain/month</t>
  </si>
  <si>
    <t>Forage air-dry lbs/acre/inch rain/month</t>
  </si>
  <si>
    <t>MmA</t>
  </si>
  <si>
    <t>Kauai</t>
  </si>
  <si>
    <t>Forage yield, dry lbs/acre</t>
  </si>
  <si>
    <t>MmB</t>
  </si>
  <si>
    <t>Maui</t>
  </si>
  <si>
    <t>PZUE</t>
  </si>
  <si>
    <t>HFPET</t>
  </si>
  <si>
    <t>EcoCrop</t>
  </si>
  <si>
    <t>Ensemble</t>
  </si>
  <si>
    <t>WeB</t>
  </si>
  <si>
    <t>WeC</t>
  </si>
  <si>
    <t>WfB</t>
  </si>
  <si>
    <t>WgB</t>
  </si>
  <si>
    <t>WgC</t>
  </si>
  <si>
    <t>WhB</t>
  </si>
  <si>
    <t>WhC</t>
  </si>
  <si>
    <t>WID2</t>
  </si>
  <si>
    <t>WxB</t>
  </si>
  <si>
    <t>WxC</t>
  </si>
  <si>
    <t>WyB</t>
  </si>
  <si>
    <t>WyC</t>
  </si>
  <si>
    <t>Cynodon dactylon</t>
  </si>
  <si>
    <t>Cenchrus ciliaris</t>
  </si>
  <si>
    <t>Paspalum dilatatum</t>
  </si>
  <si>
    <t>Urochloa maxima</t>
  </si>
  <si>
    <t>Pennisetum clandestinum</t>
  </si>
  <si>
    <t>Hemarthria altissima</t>
  </si>
  <si>
    <t>Dactylis glomerata</t>
  </si>
  <si>
    <t>Digitaria eriantha</t>
  </si>
  <si>
    <t>Cynodon nlemfuensis</t>
  </si>
  <si>
    <t>EaA</t>
  </si>
  <si>
    <t>Cynodon plectostachyus</t>
  </si>
  <si>
    <t>EaB</t>
  </si>
  <si>
    <t>Parameter</t>
  </si>
  <si>
    <t>Yield, air-dry lbs/acre</t>
  </si>
  <si>
    <t>EaC</t>
  </si>
  <si>
    <t>EmB</t>
  </si>
  <si>
    <t>EsA</t>
  </si>
  <si>
    <t>EsB</t>
  </si>
  <si>
    <t>EtB</t>
  </si>
  <si>
    <t>EwA</t>
  </si>
  <si>
    <t>EwB</t>
  </si>
  <si>
    <t>EwC</t>
  </si>
  <si>
    <t>Temp (°F)</t>
  </si>
  <si>
    <t>EcA</t>
  </si>
  <si>
    <t>EcB</t>
  </si>
  <si>
    <t>Source</t>
  </si>
  <si>
    <t>Tropical Forages</t>
  </si>
  <si>
    <t>EmA</t>
  </si>
  <si>
    <t>HxA</t>
  </si>
  <si>
    <t>HxB</t>
  </si>
  <si>
    <t>KnB</t>
  </si>
  <si>
    <t>KnC</t>
  </si>
  <si>
    <t>KnaB</t>
  </si>
  <si>
    <t>Temp C</t>
  </si>
  <si>
    <t>Temp F</t>
  </si>
  <si>
    <t>KnaC</t>
  </si>
  <si>
    <t>KnaD</t>
  </si>
  <si>
    <t>KnbD</t>
  </si>
  <si>
    <t>Rain, mm</t>
  </si>
  <si>
    <t>inch/month</t>
  </si>
  <si>
    <t>KncC</t>
  </si>
  <si>
    <t>KnhC</t>
  </si>
  <si>
    <t>KnsC</t>
  </si>
  <si>
    <t>KoA</t>
  </si>
  <si>
    <t>KoB</t>
  </si>
  <si>
    <t>KobA</t>
  </si>
  <si>
    <t>KOYE</t>
  </si>
  <si>
    <t>KsB</t>
  </si>
  <si>
    <t>KsC</t>
  </si>
  <si>
    <t>KsD</t>
  </si>
  <si>
    <t>Pasture Groups, NRCS</t>
  </si>
  <si>
    <t>LuA</t>
  </si>
  <si>
    <t>LuB</t>
  </si>
  <si>
    <t>Forage Yield, air-dry lbs/acre</t>
  </si>
  <si>
    <t>LvA</t>
  </si>
  <si>
    <t>LvB</t>
  </si>
  <si>
    <t>Selections for Pasture Improvement/Productivity</t>
  </si>
  <si>
    <t>LPE</t>
  </si>
  <si>
    <t>MgB</t>
  </si>
  <si>
    <t>MgC</t>
  </si>
  <si>
    <t>MgD</t>
  </si>
  <si>
    <t>MgE2</t>
  </si>
  <si>
    <t>MhB</t>
  </si>
  <si>
    <t>MhC</t>
  </si>
  <si>
    <t>MhD</t>
  </si>
  <si>
    <t>MhE</t>
  </si>
  <si>
    <t>MnC</t>
  </si>
  <si>
    <t>MuA</t>
  </si>
  <si>
    <t>MuB</t>
  </si>
  <si>
    <t>MuB3</t>
  </si>
  <si>
    <t>MuC</t>
  </si>
  <si>
    <t>MuC3</t>
  </si>
  <si>
    <t>MuD</t>
  </si>
  <si>
    <t>MvD3</t>
  </si>
  <si>
    <t>Pasture Group ID from map symbol:</t>
  </si>
  <si>
    <t>NnC</t>
  </si>
  <si>
    <t>NoC</t>
  </si>
  <si>
    <t>OAD</t>
  </si>
  <si>
    <t>JAN</t>
  </si>
  <si>
    <t>OED</t>
  </si>
  <si>
    <t>FEB</t>
  </si>
  <si>
    <t>PdA</t>
  </si>
  <si>
    <t>MAR</t>
  </si>
  <si>
    <t>PdC</t>
  </si>
  <si>
    <t>APR</t>
  </si>
  <si>
    <t>PHXC</t>
  </si>
  <si>
    <t>MAY</t>
  </si>
  <si>
    <t>PoB</t>
  </si>
  <si>
    <t>JUN</t>
  </si>
  <si>
    <t>PoaB</t>
  </si>
  <si>
    <t>JUL</t>
  </si>
  <si>
    <t>PpA</t>
  </si>
  <si>
    <t>AUG</t>
  </si>
  <si>
    <t>PpB</t>
  </si>
  <si>
    <t>SEP</t>
  </si>
  <si>
    <t>PrA</t>
  </si>
  <si>
    <t>OCT</t>
  </si>
  <si>
    <t>PrB</t>
  </si>
  <si>
    <t>NOV</t>
  </si>
  <si>
    <t>PsA</t>
  </si>
  <si>
    <t>DEC</t>
  </si>
  <si>
    <t>PtA</t>
  </si>
  <si>
    <t>PtB</t>
  </si>
  <si>
    <t>PuB</t>
  </si>
  <si>
    <t>PvC</t>
  </si>
  <si>
    <t>PZVE</t>
  </si>
  <si>
    <t>UwB</t>
  </si>
  <si>
    <t>UwC</t>
  </si>
  <si>
    <t>UwC3</t>
  </si>
  <si>
    <t>WrA</t>
  </si>
  <si>
    <t>WrB</t>
  </si>
  <si>
    <t>WrB3</t>
  </si>
  <si>
    <t>WrC3</t>
  </si>
  <si>
    <t>WJF</t>
  </si>
  <si>
    <t>WzA</t>
  </si>
  <si>
    <t>Range Type</t>
  </si>
  <si>
    <t>Growth Curve</t>
  </si>
  <si>
    <t>WzB</t>
  </si>
  <si>
    <t>Leeward Coastal Desert</t>
  </si>
  <si>
    <t>WzC</t>
  </si>
  <si>
    <t>Leeward Semiarid Midgrass Steppe</t>
  </si>
  <si>
    <t>HcB</t>
  </si>
  <si>
    <t>3, 5</t>
  </si>
  <si>
    <t>HdC</t>
  </si>
  <si>
    <t>HeA</t>
  </si>
  <si>
    <t>HeB</t>
  </si>
  <si>
    <t>HgB</t>
  </si>
  <si>
    <t>1000-2000</t>
  </si>
  <si>
    <t>4000-6000</t>
  </si>
  <si>
    <t>5000-8000</t>
  </si>
  <si>
    <t>HgC</t>
  </si>
  <si>
    <t>Humid</t>
  </si>
  <si>
    <t>HhB</t>
  </si>
  <si>
    <t>HhC</t>
  </si>
  <si>
    <t>HkC2</t>
  </si>
  <si>
    <t>HLMG</t>
  </si>
  <si>
    <t>HyB3</t>
  </si>
  <si>
    <t>HzA</t>
  </si>
  <si>
    <t>HzB</t>
  </si>
  <si>
    <t>HzC</t>
  </si>
  <si>
    <t>HzE</t>
  </si>
  <si>
    <t>IaA</t>
  </si>
  <si>
    <t>IaB</t>
  </si>
  <si>
    <t>IbB</t>
  </si>
  <si>
    <t>IbC</t>
  </si>
  <si>
    <t>IcB</t>
  </si>
  <si>
    <t>IcC</t>
  </si>
  <si>
    <t>KbB</t>
  </si>
  <si>
    <t>KbC</t>
  </si>
  <si>
    <t>KbD</t>
  </si>
  <si>
    <t>KGKC</t>
  </si>
  <si>
    <t>KGLC</t>
  </si>
  <si>
    <t>KhB</t>
  </si>
  <si>
    <t>KhB2</t>
  </si>
  <si>
    <t>KhC</t>
  </si>
  <si>
    <t>KhC2</t>
  </si>
  <si>
    <t>KLUD</t>
  </si>
  <si>
    <t>KLVD</t>
  </si>
  <si>
    <t>KlA</t>
  </si>
  <si>
    <t>KrB</t>
  </si>
  <si>
    <t>KrC</t>
  </si>
  <si>
    <t>KrD</t>
  </si>
  <si>
    <t>KRL</t>
  </si>
  <si>
    <t>KRX</t>
  </si>
  <si>
    <t>KtC</t>
  </si>
  <si>
    <t>KTKE</t>
  </si>
  <si>
    <t>KyA</t>
  </si>
  <si>
    <t>KyB</t>
  </si>
  <si>
    <t>KyC</t>
  </si>
  <si>
    <t>LaA</t>
  </si>
  <si>
    <t>LaB</t>
  </si>
  <si>
    <t>LaB3</t>
  </si>
  <si>
    <t>LaC</t>
  </si>
  <si>
    <t>LaC3</t>
  </si>
  <si>
    <t>LaD</t>
  </si>
  <si>
    <t>LaE3</t>
  </si>
  <si>
    <t>MdB</t>
  </si>
  <si>
    <t>MdC</t>
  </si>
  <si>
    <t>Mr</t>
  </si>
  <si>
    <t>Ms</t>
  </si>
  <si>
    <t>Mt</t>
  </si>
  <si>
    <t>Mta</t>
  </si>
  <si>
    <t>Mtb</t>
  </si>
  <si>
    <t>NcC</t>
  </si>
  <si>
    <t>NcD</t>
  </si>
  <si>
    <t>NcD2</t>
  </si>
  <si>
    <t>NcE2</t>
  </si>
  <si>
    <t>PcB</t>
  </si>
  <si>
    <t>PcC</t>
  </si>
  <si>
    <t>PcC2</t>
  </si>
  <si>
    <t>PID2</t>
  </si>
  <si>
    <t>PJD2</t>
  </si>
  <si>
    <t>PYD</t>
  </si>
  <si>
    <t>PYE</t>
  </si>
  <si>
    <t>PYF</t>
  </si>
  <si>
    <t>WbB</t>
  </si>
  <si>
    <t>WcB</t>
  </si>
  <si>
    <t>WcC</t>
  </si>
  <si>
    <t>WdB</t>
  </si>
  <si>
    <t>WkA</t>
  </si>
  <si>
    <t>WkB</t>
  </si>
  <si>
    <t>WlB</t>
  </si>
  <si>
    <t>WlE</t>
  </si>
  <si>
    <t>WmD</t>
  </si>
  <si>
    <t>WnB</t>
  </si>
  <si>
    <t>WoA</t>
  </si>
  <si>
    <t>WoB</t>
  </si>
  <si>
    <t>WoC</t>
  </si>
  <si>
    <t>WoD</t>
  </si>
  <si>
    <t>WohB</t>
  </si>
  <si>
    <t>WvB</t>
  </si>
  <si>
    <t>WvC</t>
  </si>
  <si>
    <t>WwC</t>
  </si>
  <si>
    <t>KxC</t>
  </si>
  <si>
    <t>KxD</t>
  </si>
  <si>
    <t>KxaD</t>
  </si>
  <si>
    <t>KxbE</t>
  </si>
  <si>
    <t>ISD</t>
  </si>
  <si>
    <t>UME</t>
  </si>
  <si>
    <t>UMF</t>
  </si>
  <si>
    <t>URD</t>
  </si>
  <si>
    <t>KCXD</t>
  </si>
  <si>
    <t>KFID</t>
  </si>
  <si>
    <t>KpB</t>
  </si>
  <si>
    <t>KpC</t>
  </si>
  <si>
    <t>KpD</t>
  </si>
  <si>
    <t>KpE</t>
  </si>
  <si>
    <t>KpF</t>
  </si>
  <si>
    <t>KPZ</t>
  </si>
  <si>
    <t>KvB</t>
  </si>
  <si>
    <t>KvC</t>
  </si>
  <si>
    <t>KvD</t>
  </si>
  <si>
    <t>LhB</t>
  </si>
  <si>
    <t>LhC</t>
  </si>
  <si>
    <t>LhD</t>
  </si>
  <si>
    <t>LhE2</t>
  </si>
  <si>
    <t>PXD</t>
  </si>
  <si>
    <t>ULD</t>
  </si>
  <si>
    <t>Ws</t>
  </si>
  <si>
    <t>Wt</t>
  </si>
  <si>
    <t>Wu</t>
  </si>
  <si>
    <t>WaA</t>
  </si>
  <si>
    <t>WaB</t>
  </si>
  <si>
    <t>WaC</t>
  </si>
  <si>
    <t>WaD2</t>
  </si>
  <si>
    <t>AeB</t>
  </si>
  <si>
    <t>AeC</t>
  </si>
  <si>
    <t>ALF</t>
  </si>
  <si>
    <t>AME3</t>
  </si>
  <si>
    <t>ANE</t>
  </si>
  <si>
    <t>AeE</t>
  </si>
  <si>
    <t>ALE3</t>
  </si>
  <si>
    <t>HID</t>
  </si>
  <si>
    <t>HID3</t>
  </si>
  <si>
    <t>HJE</t>
  </si>
  <si>
    <t>HJF2</t>
  </si>
  <si>
    <t>IoB</t>
  </si>
  <si>
    <t>IoC</t>
  </si>
  <si>
    <t>IoD2</t>
  </si>
  <si>
    <t>IoE2</t>
  </si>
  <si>
    <t>KcB</t>
  </si>
  <si>
    <t>KcC</t>
  </si>
  <si>
    <t>KcC3</t>
  </si>
  <si>
    <t>KcD3</t>
  </si>
  <si>
    <t>KcE3</t>
  </si>
  <si>
    <t>KuB</t>
  </si>
  <si>
    <t>KuC</t>
  </si>
  <si>
    <t>KuD</t>
  </si>
  <si>
    <t>MaC</t>
  </si>
  <si>
    <t>MaD</t>
  </si>
  <si>
    <t>MaD3</t>
  </si>
  <si>
    <t>MaE</t>
  </si>
  <si>
    <t>MaE3</t>
  </si>
  <si>
    <t>McC2</t>
  </si>
  <si>
    <t>McD2</t>
  </si>
  <si>
    <t>McE2</t>
  </si>
  <si>
    <t>MBL</t>
  </si>
  <si>
    <t>MoB</t>
  </si>
  <si>
    <t>MoC</t>
  </si>
  <si>
    <t>MoD2</t>
  </si>
  <si>
    <t>MpB</t>
  </si>
  <si>
    <t>MpC</t>
  </si>
  <si>
    <t>MpD</t>
  </si>
  <si>
    <t>MpD2</t>
  </si>
  <si>
    <t>MpE</t>
  </si>
  <si>
    <t>NAC</t>
  </si>
  <si>
    <t>NAC3</t>
  </si>
  <si>
    <t>OMB</t>
  </si>
  <si>
    <t>OME</t>
  </si>
  <si>
    <t>OMF</t>
  </si>
  <si>
    <t>PkB</t>
  </si>
  <si>
    <t>PkC</t>
  </si>
  <si>
    <t>PwC</t>
  </si>
  <si>
    <t>PwD</t>
  </si>
  <si>
    <t>PwE</t>
  </si>
  <si>
    <t>HlB</t>
  </si>
  <si>
    <t>HlC</t>
  </si>
  <si>
    <t>HlC2</t>
  </si>
  <si>
    <t>HmA</t>
  </si>
  <si>
    <t>HnA</t>
  </si>
  <si>
    <t>HnB</t>
  </si>
  <si>
    <t>HoB</t>
  </si>
  <si>
    <t>HpA</t>
  </si>
  <si>
    <t>HrB</t>
  </si>
  <si>
    <t>KaB</t>
  </si>
  <si>
    <t>KaC</t>
  </si>
  <si>
    <t>KaeD</t>
  </si>
  <si>
    <t>KanE</t>
  </si>
  <si>
    <t>KavB</t>
  </si>
  <si>
    <t>KavC</t>
  </si>
  <si>
    <t>KaeB</t>
  </si>
  <si>
    <t>KaeC</t>
  </si>
  <si>
    <t>Ke</t>
  </si>
  <si>
    <t>Kf</t>
  </si>
  <si>
    <t>Kfa</t>
  </si>
  <si>
    <t>Kfb</t>
  </si>
  <si>
    <t>KmA</t>
  </si>
  <si>
    <t>KmaB</t>
  </si>
  <si>
    <t>KmbA</t>
  </si>
  <si>
    <t>Nh</t>
  </si>
  <si>
    <t>Ph</t>
  </si>
  <si>
    <t>HaB</t>
  </si>
  <si>
    <t>HaC</t>
  </si>
  <si>
    <t>HbB</t>
  </si>
  <si>
    <t>HbC</t>
  </si>
  <si>
    <t>HsB</t>
  </si>
  <si>
    <t>HsC</t>
  </si>
  <si>
    <t>HsD</t>
  </si>
  <si>
    <t>HsE</t>
  </si>
  <si>
    <t>HuE</t>
  </si>
  <si>
    <t>HwC</t>
  </si>
  <si>
    <t>HwD</t>
  </si>
  <si>
    <t>KASD</t>
  </si>
  <si>
    <t>KATD</t>
  </si>
  <si>
    <t>KdE</t>
  </si>
  <si>
    <t>KdF</t>
  </si>
  <si>
    <t>KEHF</t>
  </si>
  <si>
    <t>KgB</t>
  </si>
  <si>
    <t>KgC</t>
  </si>
  <si>
    <t>KHMC</t>
  </si>
  <si>
    <t>KHME</t>
  </si>
  <si>
    <t>KHMF</t>
  </si>
  <si>
    <t>KHOF</t>
  </si>
  <si>
    <t>Kw</t>
  </si>
  <si>
    <t>KUL</t>
  </si>
  <si>
    <t>LcB</t>
  </si>
  <si>
    <t>LcC</t>
  </si>
  <si>
    <t>LcD</t>
  </si>
  <si>
    <t>LeB</t>
  </si>
  <si>
    <t>LeC</t>
  </si>
  <si>
    <t>LoB</t>
  </si>
  <si>
    <t>LoC</t>
  </si>
  <si>
    <t>LoD</t>
  </si>
  <si>
    <t>LoE</t>
  </si>
  <si>
    <t>LoF</t>
  </si>
  <si>
    <t>MID</t>
  </si>
  <si>
    <t>MJD</t>
  </si>
  <si>
    <t>MdD</t>
  </si>
  <si>
    <t>MfB</t>
  </si>
  <si>
    <t>MfC</t>
  </si>
  <si>
    <t>OFC</t>
  </si>
  <si>
    <t>PaC</t>
  </si>
  <si>
    <t>PbC</t>
  </si>
  <si>
    <t>PeB</t>
  </si>
  <si>
    <t>PeC</t>
  </si>
  <si>
    <t>PeD</t>
  </si>
  <si>
    <t>PeE</t>
  </si>
  <si>
    <t>PeF</t>
  </si>
  <si>
    <t>PZ</t>
  </si>
  <si>
    <t>PfB</t>
  </si>
  <si>
    <t>PfC</t>
  </si>
  <si>
    <t>PfD</t>
  </si>
  <si>
    <t>PnA</t>
  </si>
  <si>
    <t>PnB</t>
  </si>
  <si>
    <t>PnC</t>
  </si>
  <si>
    <t>PnD</t>
  </si>
  <si>
    <t>PnE</t>
  </si>
  <si>
    <t>WpB</t>
  </si>
  <si>
    <t>WpC</t>
  </si>
  <si>
    <t>WpE</t>
  </si>
  <si>
    <t>WpF</t>
  </si>
  <si>
    <t>WpF2</t>
  </si>
  <si>
    <t>WpaE</t>
  </si>
  <si>
    <t>HMMF</t>
  </si>
  <si>
    <t>HtE</t>
  </si>
  <si>
    <t>KdD</t>
  </si>
  <si>
    <t>MWE</t>
  </si>
  <si>
    <t>MYD</t>
  </si>
  <si>
    <t>NLE</t>
  </si>
  <si>
    <t>NME</t>
  </si>
  <si>
    <t>OPD</t>
  </si>
  <si>
    <t>TAE</t>
  </si>
  <si>
    <t>TAF</t>
  </si>
  <si>
    <t>TCC</t>
  </si>
  <si>
    <t>TCE</t>
  </si>
  <si>
    <t>HfB</t>
  </si>
  <si>
    <t>HfC</t>
  </si>
  <si>
    <t>HfD2</t>
  </si>
  <si>
    <t>HfE2</t>
  </si>
  <si>
    <t>KkB</t>
  </si>
  <si>
    <t>KkC</t>
  </si>
  <si>
    <t>KkD</t>
  </si>
  <si>
    <t>KkE</t>
  </si>
  <si>
    <t>KIG</t>
  </si>
  <si>
    <t>MeB</t>
  </si>
  <si>
    <t>MeC</t>
  </si>
  <si>
    <t>MeD</t>
  </si>
  <si>
    <t>MeE</t>
  </si>
  <si>
    <t>PID</t>
  </si>
  <si>
    <t>PmB</t>
  </si>
  <si>
    <t>PmC</t>
  </si>
  <si>
    <t>PmD</t>
  </si>
  <si>
    <t>PmE</t>
  </si>
  <si>
    <t>PlB</t>
  </si>
  <si>
    <t>PlD</t>
  </si>
  <si>
    <t>HKLD</t>
  </si>
  <si>
    <t>HKMD</t>
  </si>
  <si>
    <t>HKNC</t>
  </si>
  <si>
    <t>HKOC</t>
  </si>
  <si>
    <t>KBID</t>
  </si>
  <si>
    <t>KVSB</t>
  </si>
  <si>
    <t>KVSE</t>
  </si>
  <si>
    <t>rHOD</t>
  </si>
  <si>
    <t>rHR</t>
  </si>
  <si>
    <t>KSKE</t>
  </si>
  <si>
    <t>KSKF</t>
  </si>
  <si>
    <t>KZC</t>
  </si>
  <si>
    <t>ONC</t>
  </si>
  <si>
    <t>OND</t>
  </si>
  <si>
    <t>ONE</t>
  </si>
  <si>
    <t>PGE</t>
  </si>
  <si>
    <t>PGF</t>
  </si>
  <si>
    <t>KDIE</t>
  </si>
  <si>
    <t>KDVE</t>
  </si>
  <si>
    <t>LME</t>
  </si>
  <si>
    <t>LMF</t>
  </si>
  <si>
    <t>LNE</t>
  </si>
  <si>
    <t>Hawaii Island</t>
  </si>
  <si>
    <t>W</t>
  </si>
  <si>
    <t>Low</t>
  </si>
  <si>
    <t xml:space="preserve">High </t>
  </si>
  <si>
    <t>https://websoilsurvey.sc.egov.usda.gov/App/HomePage.htm</t>
  </si>
  <si>
    <r>
      <rPr>
        <b/>
        <u/>
        <sz val="11"/>
        <color theme="1"/>
        <rFont val="Calibri"/>
        <family val="2"/>
        <scheme val="minor"/>
      </rPr>
      <t>SOIL MAP SYMBOL</t>
    </r>
    <r>
      <rPr>
        <b/>
        <sz val="11"/>
        <color theme="1"/>
        <rFont val="Calibri"/>
        <family val="2"/>
        <scheme val="minor"/>
      </rPr>
      <t>:</t>
    </r>
    <r>
      <rPr>
        <sz val="10"/>
        <rFont val="Calibri"/>
        <family val="2"/>
        <scheme val="minor"/>
      </rPr>
      <t xml:space="preserve"> Using NRCS Web Soil Survey, find and input the dominant SOIL MAP SYMBOL for the soil series of the particular pasture. </t>
    </r>
  </si>
  <si>
    <r>
      <rPr>
        <b/>
        <u/>
        <sz val="11"/>
        <color theme="1"/>
        <rFont val="Calibri"/>
        <family val="2"/>
        <scheme val="minor"/>
      </rPr>
      <t>ISLAND</t>
    </r>
    <r>
      <rPr>
        <b/>
        <sz val="11"/>
        <color theme="1"/>
        <rFont val="Calibri"/>
        <family val="2"/>
        <scheme val="minor"/>
      </rPr>
      <t>:</t>
    </r>
    <r>
      <rPr>
        <sz val="10"/>
        <rFont val="Calibri"/>
        <family val="2"/>
        <scheme val="minor"/>
      </rPr>
      <t xml:space="preserve"> Select the island that the pasture is located on. If the island is not listed, select "other island".</t>
    </r>
  </si>
  <si>
    <t>Rainfall (in)</t>
  </si>
  <si>
    <t>Instructions to Retrieve Climate Data</t>
  </si>
  <si>
    <t>Rainfall, Inch</t>
  </si>
  <si>
    <t>Aasufou</t>
  </si>
  <si>
    <t>Pago Pago Airport</t>
  </si>
  <si>
    <t>Mili</t>
  </si>
  <si>
    <t>Majuro, WBAS Airport</t>
  </si>
  <si>
    <t>Woleai Atoll</t>
  </si>
  <si>
    <t>Yap, Tamil</t>
  </si>
  <si>
    <t>Tiyan (Airport)</t>
  </si>
  <si>
    <t>BACK</t>
  </si>
  <si>
    <t>Copy and Paste the GPS coordinates in the "Location:" cell of the map to the "Location:" cell of STEP 1: Retreieve Climate Data.</t>
  </si>
  <si>
    <r>
      <t>Change the "Variable" setting to "Rainfall".  A balloon with specific data should  appear at the selected point and a graph should appear to the left of the map. Copy and Paste each month and its corresponding rainfall value to the Rainfall table of STEP 1: Retreieve Climate Data. Be sure to hover over the paste options and select "</t>
    </r>
    <r>
      <rPr>
        <b/>
        <sz val="11"/>
        <color theme="1"/>
        <rFont val="Calibri"/>
        <family val="2"/>
        <scheme val="minor"/>
      </rPr>
      <t>Match Destination Formatting</t>
    </r>
    <r>
      <rPr>
        <sz val="10"/>
        <rFont val="Courier"/>
      </rPr>
      <t>"</t>
    </r>
  </si>
  <si>
    <r>
      <t>Change the "Variable" setting to "Air Temperature".  A balloon with specific data should appear at the selected point,  the "Location:" cell should be populated, and a graph should appear to the left of the map. Above the graph are [2] tabs:  "Graphs", "Tables".  Click on the "Tables" tab. Copy and Paste each month and its corresponding temperature value to the Air Temp table of STEP 1: Retreieve Climate Data . Be sure to hover over the paste options and select "</t>
    </r>
    <r>
      <rPr>
        <b/>
        <sz val="11"/>
        <color theme="1"/>
        <rFont val="Calibri"/>
        <family val="2"/>
        <scheme val="minor"/>
      </rPr>
      <t>Match Destination Formatting</t>
    </r>
    <r>
      <rPr>
        <sz val="10"/>
        <rFont val="Courier"/>
      </rPr>
      <t>".</t>
    </r>
  </si>
  <si>
    <t xml:space="preserve">After locating the paddock, click on a point on the map closest to the center of the paddock. </t>
  </si>
  <si>
    <t>Using the cursor, double-click on the map to locate the client's paddock. You can also click and hold the left mouse button to scroll the map to the desired location. There is also a slider on the left side of the map that controls zoom.</t>
  </si>
  <si>
    <t>For the "Units" setting, at the lower left corner of the map, select "other"</t>
  </si>
  <si>
    <t>For the "Variable" setting, at the lower left corner of the map, select "-None-".</t>
  </si>
  <si>
    <t>Click the "Base Maps" button at the upper left corner of the map to select the "Imagery" option.</t>
  </si>
  <si>
    <t xml:space="preserve">Click the "Agree" button when promted. You should see a map of Hawaii with multiple cells for the user to select setting  options. </t>
  </si>
  <si>
    <t xml:space="preserve">http://climate.geography.hawaii.edu/interactivemap.html </t>
  </si>
  <si>
    <t xml:space="preserve">Click the following link to retrieve the climate data sets for Hawaii.  </t>
  </si>
  <si>
    <t>For Pastures Within the State of Hawaii</t>
  </si>
  <si>
    <t>Use the climate data from the tables below that is most representative of the location. Copy and Paste Temp and Rainfall data to the corresponding table in STEP 1: Retreieve Climate Data.</t>
  </si>
  <si>
    <t>For pastures outside the State of Hawaii</t>
  </si>
  <si>
    <t>Paddock Name/ID</t>
  </si>
  <si>
    <t>Paddock Name/ ID</t>
  </si>
  <si>
    <t>Annual Production</t>
  </si>
  <si>
    <t>Forage Growth Curve</t>
  </si>
  <si>
    <t>Growth %</t>
  </si>
  <si>
    <t>A:  Retrieve Climate Data</t>
  </si>
  <si>
    <t>B: Specify Pasture Parameters</t>
  </si>
  <si>
    <t>Paddock #</t>
  </si>
  <si>
    <t>Paddock Size (acres)</t>
  </si>
  <si>
    <t>Dominant Forage</t>
  </si>
  <si>
    <t>Pasture Condition (Improve/unimproved)</t>
  </si>
  <si>
    <t>Kaunakakai</t>
  </si>
  <si>
    <t xml:space="preserve"> 2)     At the onset of  drought conditions the forage grazing demand should be reduced by weaning and selling nursing animals earlier.  This will reduce the                                                                                                                                                                                                                                                                                                                                                                                   forage demand by as much as 30% for lactating animals.</t>
  </si>
  <si>
    <t>- will not make changes to this Job Sheet, without prior concurrence of NRCS;</t>
  </si>
  <si>
    <r>
      <rPr>
        <u/>
        <sz val="11"/>
        <rFont val="Arial"/>
        <family val="2"/>
      </rPr>
      <t xml:space="preserve">Paddock Factor: </t>
    </r>
    <r>
      <rPr>
        <sz val="11"/>
        <rFont val="Arial"/>
        <family val="2"/>
      </rPr>
      <t xml:space="preserve"> A factor related to the relative size and production of each field</t>
    </r>
  </si>
  <si>
    <r>
      <rPr>
        <u/>
        <sz val="11"/>
        <color rgb="FF000000"/>
        <rFont val="Arial"/>
        <family val="2"/>
      </rPr>
      <t xml:space="preserve">Animal Density: </t>
    </r>
    <r>
      <rPr>
        <sz val="11"/>
        <color rgb="FF000000"/>
        <rFont val="Arial"/>
        <family val="2"/>
      </rPr>
      <t xml:space="preserve"> The pounds of animals per acre concentrated on a field at one time</t>
    </r>
  </si>
  <si>
    <r>
      <t xml:space="preserve">Minimum Grazing Period: </t>
    </r>
    <r>
      <rPr>
        <sz val="11"/>
        <color rgb="FF000000"/>
        <rFont val="Arial"/>
        <family val="2"/>
      </rPr>
      <t xml:space="preserve"> The approximate grazing time in each field during fast forage growth.  Based on minimum rest periods</t>
    </r>
  </si>
  <si>
    <r>
      <t xml:space="preserve">Maximum Grazing Periods: </t>
    </r>
    <r>
      <rPr>
        <sz val="11"/>
        <color rgb="FF000000"/>
        <rFont val="Arial"/>
        <family val="2"/>
      </rPr>
      <t xml:space="preserve"> The approximate grazing time in each field during slow forage growth.  Based on maximum rest periods</t>
    </r>
  </si>
  <si>
    <r>
      <t xml:space="preserve">Minimum and Maximum Rest Periods: </t>
    </r>
    <r>
      <rPr>
        <sz val="11"/>
        <color rgb="FF000000"/>
        <rFont val="Arial"/>
        <family val="2"/>
      </rPr>
      <t xml:space="preserve"> The number of days forage should be given rest be grazing again</t>
    </r>
  </si>
  <si>
    <r>
      <t xml:space="preserve">Minimum Stubble Height: </t>
    </r>
    <r>
      <rPr>
        <sz val="11"/>
        <color rgb="FF000000"/>
        <rFont val="Arial"/>
        <family val="2"/>
      </rPr>
      <t xml:space="preserve"> Forage should not be grazed below these heights</t>
    </r>
  </si>
  <si>
    <r>
      <t xml:space="preserve">Intake rate: </t>
    </r>
    <r>
      <rPr>
        <sz val="11"/>
        <color rgb="FF000000"/>
        <rFont val="Arial"/>
        <family val="2"/>
      </rPr>
      <t xml:space="preserve"> The daily consumption as a percentage of the animals body weight; Guide- 2.0% for maintenance, 3.0% for average production, 4.0% for high production, for beef cows (year round) use 2.6%.</t>
    </r>
  </si>
  <si>
    <r>
      <rPr>
        <u/>
        <sz val="11"/>
        <color rgb="FF000000"/>
        <rFont val="Arial"/>
        <family val="2"/>
      </rPr>
      <t xml:space="preserve">Grazing Efficiency: </t>
    </r>
    <r>
      <rPr>
        <sz val="11"/>
        <color rgb="FF000000"/>
        <rFont val="Arial"/>
        <family val="2"/>
      </rPr>
      <t xml:space="preserve"> The percent of total forage utilized by the animal; Guide- 1-3 fields-</t>
    </r>
    <r>
      <rPr>
        <u/>
        <sz val="11"/>
        <color rgb="FF000000"/>
        <rFont val="Arial"/>
        <family val="2"/>
      </rPr>
      <t>&lt;</t>
    </r>
    <r>
      <rPr>
        <sz val="11"/>
        <color rgb="FF000000"/>
        <rFont val="Arial"/>
        <family val="2"/>
      </rPr>
      <t xml:space="preserve"> 30; 4-8 fields- 30-40%; 8-12 fields- 40-50%; 12-16 fields- 50-60%; 16-24 fields- 60-65%; &gt;24 fields- 65-70%; haying operation- 70% (harvest efficiency).</t>
    </r>
  </si>
  <si>
    <t>Field Office: ___________________________________  Completed By: _____________________________________</t>
  </si>
  <si>
    <t>Specie A</t>
  </si>
  <si>
    <t>Specie B</t>
  </si>
  <si>
    <t>Specie C</t>
  </si>
  <si>
    <t>Forage model used</t>
  </si>
  <si>
    <t>Soil - Forage</t>
  </si>
  <si>
    <r>
      <t>Enter a unique Soil Map Unit Symbol and Key Forage Species combination (</t>
    </r>
    <r>
      <rPr>
        <b/>
        <sz val="11"/>
        <color theme="1"/>
        <rFont val="Calibri"/>
        <family val="2"/>
        <scheme val="minor"/>
      </rPr>
      <t xml:space="preserve">ID </t>
    </r>
    <r>
      <rPr>
        <b/>
        <u/>
        <sz val="11"/>
        <color theme="1"/>
        <rFont val="Calibri"/>
        <family val="2"/>
        <scheme val="minor"/>
      </rPr>
      <t>must</t>
    </r>
    <r>
      <rPr>
        <b/>
        <sz val="11"/>
        <color theme="1"/>
        <rFont val="Calibri"/>
        <family val="2"/>
        <scheme val="minor"/>
      </rPr>
      <t xml:space="preserve"> include letters, Example: 901-Guinea</t>
    </r>
    <r>
      <rPr>
        <sz val="11"/>
        <color theme="1"/>
        <rFont val="Calibri"/>
        <family val="2"/>
        <scheme val="minor"/>
      </rPr>
      <t xml:space="preserve">) in the Soil-Forage column below for each unique soil-forage combination. These combinations will be assigned to individual paddocks in the next step.  Each paddock can only have one soil-forage assignment, so choose the most appropriate.  </t>
    </r>
    <r>
      <rPr>
        <sz val="11"/>
        <rFont val="Calibri"/>
        <family val="2"/>
        <scheme val="minor"/>
      </rPr>
      <t xml:space="preserve">"Climate Data" and "Pasture Parameters" for each soil-forage combination should be modified only if necessary. </t>
    </r>
    <r>
      <rPr>
        <b/>
        <sz val="11"/>
        <rFont val="Calibri"/>
        <family val="2"/>
        <scheme val="minor"/>
      </rPr>
      <t>After the production data is generated for a soil-forage combination, the monthly and annual production data, along with the forage species, must be copied to the corresponding rows below. It is important that only the values of the forage and production are copied to the cells (Copy, Paste-Values)</t>
    </r>
  </si>
  <si>
    <t>C:  Estimated Monthly and Annual Production (lbs./Acre) Soil-Forage Type</t>
  </si>
  <si>
    <t>Planner-Estimated Monthly and Annual Production (lbs./ACRE)</t>
  </si>
  <si>
    <t>Planner-Estimated Annual Forage Production (lbs./Acre)</t>
  </si>
  <si>
    <t>REFERENCE:  Annual Forage Production (lbs./Acre)</t>
  </si>
  <si>
    <r>
      <rPr>
        <b/>
        <u/>
        <sz val="11"/>
        <color theme="1"/>
        <rFont val="Calibri"/>
        <family val="2"/>
        <scheme val="minor"/>
      </rPr>
      <t>PLANNER-ESTIMATED ANNUAL FORAGE PRODUCTION</t>
    </r>
    <r>
      <rPr>
        <sz val="10"/>
        <rFont val="Calibri"/>
        <family val="2"/>
        <scheme val="minor"/>
      </rPr>
      <t xml:space="preserve">: As an </t>
    </r>
    <r>
      <rPr>
        <b/>
        <sz val="11"/>
        <color theme="1"/>
        <rFont val="Calibri"/>
        <family val="2"/>
        <scheme val="minor"/>
      </rPr>
      <t>OPTION</t>
    </r>
    <r>
      <rPr>
        <sz val="10"/>
        <rFont val="Calibri"/>
        <family val="2"/>
        <scheme val="minor"/>
      </rPr>
      <t xml:space="preserve"> for the planner, an </t>
    </r>
    <r>
      <rPr>
        <b/>
        <sz val="11"/>
        <color theme="1"/>
        <rFont val="Calibri"/>
        <family val="2"/>
        <scheme val="minor"/>
      </rPr>
      <t>Estimated Annual Production</t>
    </r>
    <r>
      <rPr>
        <sz val="10"/>
        <rFont val="Calibri"/>
        <family val="2"/>
        <scheme val="minor"/>
      </rPr>
      <t xml:space="preserve"> can be used.  Enter the estimated value in the cell below. The Annual Forage Production values in the table below-to-the-left (yellow cells) may be used as a reference (SCS, 1972; NRCS Web Soil Survey, 2021). This data is directly linked to the </t>
    </r>
    <r>
      <rPr>
        <b/>
        <sz val="11"/>
        <color theme="1"/>
        <rFont val="Calibri"/>
        <family val="2"/>
        <scheme val="minor"/>
      </rPr>
      <t>SOIL MAP SYMBOL</t>
    </r>
    <r>
      <rPr>
        <sz val="10"/>
        <rFont val="Calibri"/>
        <family val="2"/>
        <scheme val="minor"/>
      </rPr>
      <t xml:space="preserve"> input-box above.  Other references or sources of information may also be used if available.  Monthly forage production will be based on the</t>
    </r>
    <r>
      <rPr>
        <b/>
        <sz val="11"/>
        <color theme="1"/>
        <rFont val="Calibri"/>
        <family val="2"/>
        <scheme val="minor"/>
      </rPr>
      <t xml:space="preserve"> Tool-Predicted Monthly Forage Growth Curve.</t>
    </r>
    <r>
      <rPr>
        <sz val="11"/>
        <color theme="1"/>
        <rFont val="Calibri"/>
        <family val="2"/>
        <scheme val="minor"/>
      </rPr>
      <t xml:space="preserve"> </t>
    </r>
  </si>
  <si>
    <t>**This feature is optional and requires Range Specialist Approval</t>
  </si>
  <si>
    <t>Planner-Estimated Annual Forage Production</t>
  </si>
  <si>
    <t>Copy the estimated monthly and annual production and paste in Table C below</t>
  </si>
  <si>
    <t>Estimated Monthly and Annual Production (lbs./ACRE)</t>
  </si>
  <si>
    <r>
      <rPr>
        <b/>
        <u/>
        <sz val="11"/>
        <color theme="1"/>
        <rFont val="Calibri"/>
        <family val="2"/>
        <scheme val="minor"/>
      </rPr>
      <t>FORAGE:</t>
    </r>
    <r>
      <rPr>
        <sz val="10"/>
        <rFont val="Calibri"/>
        <family val="2"/>
        <scheme val="minor"/>
      </rPr>
      <t xml:space="preserve"> Identify the dominant or planned forage of the particular pasture.</t>
    </r>
  </si>
  <si>
    <r>
      <rPr>
        <b/>
        <u/>
        <sz val="11"/>
        <color theme="1"/>
        <rFont val="Calibri"/>
        <family val="2"/>
        <scheme val="minor"/>
      </rPr>
      <t>PASTURE CONDITION</t>
    </r>
    <r>
      <rPr>
        <b/>
        <sz val="11"/>
        <color theme="1"/>
        <rFont val="Calibri"/>
        <family val="2"/>
        <scheme val="minor"/>
      </rPr>
      <t xml:space="preserve">: </t>
    </r>
    <r>
      <rPr>
        <sz val="10"/>
        <rFont val="Calibri"/>
        <family val="2"/>
        <scheme val="minor"/>
      </rPr>
      <t>If the pasture is degraded select "Unimproved". Select "Improved" if the pasture condition is "good" and plant community is mostly forage species appropriate to the site.</t>
    </r>
  </si>
  <si>
    <t>*Remember to paste with "Match Destination Formatting".</t>
  </si>
  <si>
    <t>Month*</t>
  </si>
  <si>
    <t>Location/ GPS Coordinates*</t>
  </si>
  <si>
    <t>Retrieve climate data from Climate Data of Hawaii</t>
  </si>
  <si>
    <t>Production Estimate</t>
  </si>
  <si>
    <t>Waipahu silty clay, 6 to 12 percent slopes</t>
  </si>
  <si>
    <t>Torrertic Haplustolls</t>
  </si>
  <si>
    <t>isohyperthermic</t>
  </si>
  <si>
    <t>Waipahu silty clay, 2 to 6 percent slopes</t>
  </si>
  <si>
    <t>Waipahu silty clay, 0 to 2 percent slopes</t>
  </si>
  <si>
    <t>Wainee extremely stony silty clay, 7 to 15 percent slopes, MLRA 158</t>
  </si>
  <si>
    <t xml:space="preserve">ustic </t>
  </si>
  <si>
    <t>Wainee extremely stony silty clay, 3 to 7 percent slopes</t>
  </si>
  <si>
    <t>Wainee very stony silty clay, 7 to 15 percent slopes</t>
  </si>
  <si>
    <t>Wainee very stony silty clay, 3 to 7 percent slopes</t>
  </si>
  <si>
    <t>Wailuku cobbly silty clay, 7 to 15 percent slopes, MLRA 163</t>
  </si>
  <si>
    <t>aridic</t>
  </si>
  <si>
    <t>Wailuku silty clay, 7 to 15 percent slopes, MLRA 163</t>
  </si>
  <si>
    <t>Wailuku silty clay, 3 to 7 percent slopes, MLRA 163</t>
  </si>
  <si>
    <t>Waikomo - Rock outcrop complex, 2 to 6 percent slopes, MLRA 158</t>
  </si>
  <si>
    <t>ustic</t>
  </si>
  <si>
    <t>Waikomo very rocky silty clay</t>
  </si>
  <si>
    <t>Waikomo stony silty clay</t>
  </si>
  <si>
    <t>Waikapu silty clay loam, 7 to 15 percent slopes, severely eroded, MLRA 158</t>
  </si>
  <si>
    <t>Waikapu silty clay loam, 3 to 7 percent slopes, severely eroded</t>
  </si>
  <si>
    <t>Waikapu silty clay loam, 3 to 7 percent slopes</t>
  </si>
  <si>
    <t>Waikapu silty clay loam, 0 to 3 percent slopes, MLRA 158</t>
  </si>
  <si>
    <t>Waikane silty clay, 40 to 70 percent slopes, eroded</t>
  </si>
  <si>
    <t>Typic Haplohumults</t>
  </si>
  <si>
    <t>Waikane silty clay, 40 to 70 percent slopes</t>
  </si>
  <si>
    <t>Waikane silty clay, 25 to 40 percent slopes</t>
  </si>
  <si>
    <t>Waikane silty clay, 8 to 15 percent slopes</t>
  </si>
  <si>
    <t>Waikane silty clay, 3 to 8 percent slopes</t>
  </si>
  <si>
    <t>Waikane stony silty clay, 15 to 30 percent slopes</t>
  </si>
  <si>
    <t>Waihuna gravelly clay, 3 to 7 percent slopes, MLRA 158</t>
  </si>
  <si>
    <t>isothermic</t>
  </si>
  <si>
    <t>Waihuna clay, 15 to 25 percent slopes, MLRA 158</t>
  </si>
  <si>
    <t>Waihuna clay, 7 to 15 percent slopes, MLRA 158</t>
  </si>
  <si>
    <t>Waihuna clay, 3 to 7 percent slopes, MLRA 158</t>
  </si>
  <si>
    <t>Waihuna clay, 0 to 3 percent slopes, MLRA 158</t>
  </si>
  <si>
    <t>Waialua clay, 2 to 6 percent slopes</t>
  </si>
  <si>
    <t>Waialua very stony silty clay, 12 to 20 percent slopes</t>
  </si>
  <si>
    <t>Waialua stony silty clay, 12 to 30 percent slopes</t>
  </si>
  <si>
    <t>Waialua stony silty clay, 3 to 8 percent slopes</t>
  </si>
  <si>
    <t>Waialua silty clay, 3 to 8 percent slopes</t>
  </si>
  <si>
    <t>Waialua silty clay, 0 to 3 percent slopes</t>
  </si>
  <si>
    <t>Waiawa - Rock outcrop complex, 30 to 80 percent slopes, MLRA 158</t>
  </si>
  <si>
    <t>Waiakoa extremely stony silty clay loam, 3 to 25 percent slopes, eroded, MLRA 157</t>
  </si>
  <si>
    <t>Waiakoa extremely stony silty clay loam, 7 to 15 percent slopes, MLRA 158</t>
  </si>
  <si>
    <t>Waiakoa extremely stony silty clay loam, 3 to 7 percent slopes, MLRA 157</t>
  </si>
  <si>
    <t>Waiakoa very stony silty clay loam, 7 to 15 percent slopes, MLRA 158</t>
  </si>
  <si>
    <t>Waiakoa very stony silty clay loam, 3 to 7 percent slopes, MLRA 158</t>
  </si>
  <si>
    <t>Waiakoa cobbly silty clay loam, 3 to 7 percent slopes</t>
  </si>
  <si>
    <t>Waiakoa silty clay loam, 7 to 15 percent slopes</t>
  </si>
  <si>
    <t>Waiakoa silty clay loam, 3 to 7 percent slopes</t>
  </si>
  <si>
    <t>Wahikuli very stony silty clay, 3 to 7 percent slopes, MLRA 158</t>
  </si>
  <si>
    <t>Wahikuli stony silty clay, 7 to 15 percent slopes, MLRA 158</t>
  </si>
  <si>
    <t>Wahikuli stony silty clay, 3 to 7 percent slopes, MLRA 158</t>
  </si>
  <si>
    <t>Wahikuli silty clay, 3 to 7 percent slopes, MLRA 158</t>
  </si>
  <si>
    <t>Wahiawa silty clay, 15 to 25 percent slopes, eroded</t>
  </si>
  <si>
    <t>Wahiawa silty clay, 8 to 15 percent slopes</t>
  </si>
  <si>
    <t>Wahiawa silty clay, 3 to 8 percent slopes</t>
  </si>
  <si>
    <t>Wahiawa silty clay, 0 to 3 percent slopes</t>
  </si>
  <si>
    <t>Water</t>
  </si>
  <si>
    <t>Water &gt; 40 acres</t>
  </si>
  <si>
    <t>Uwala silty clay loam, 7 to 15 percent slopes, severely eroded, MLRA 158</t>
  </si>
  <si>
    <t>Uwala silty clay loam, 7 to 15 percent slopes, MLRA 158</t>
  </si>
  <si>
    <t>Uwala silty clay loam, 2 to 7 percent slopes, MLRA 158</t>
  </si>
  <si>
    <t>Uma rocky loamy coarse sand, 7 to 25 percent slopes</t>
  </si>
  <si>
    <t>isomesic</t>
  </si>
  <si>
    <t>Uma loamy coarse sand, 40 to 70 percent slopes</t>
  </si>
  <si>
    <t>Uma loamy coarse sand, 15 to 40 percent slopes</t>
  </si>
  <si>
    <t>Ulupalakua silt loam, 7 to 25 percent slopes</t>
  </si>
  <si>
    <t>Typic Endoaquepts mucky silt loam, 1 to 15 percent slopes, MLRA 164</t>
  </si>
  <si>
    <t>aquic</t>
  </si>
  <si>
    <t>TR</t>
  </si>
  <si>
    <t>Tantalus silty clay loam, 15 to 40 percent slopes</t>
  </si>
  <si>
    <t>udic</t>
  </si>
  <si>
    <t>Tantalus silty clay loam, 8 to 15 percent slopes</t>
  </si>
  <si>
    <t>Tantalus silt loam, 40 to 70 percent slopes</t>
  </si>
  <si>
    <t>Tantalus silt loam, 15 to 40 percent slopes</t>
  </si>
  <si>
    <t>Waialeale mucky silty clay loam, 30 to 70 percent slopes</t>
  </si>
  <si>
    <t>rWAF</t>
  </si>
  <si>
    <t>Very stony land, eroded</t>
  </si>
  <si>
    <t>rVT2</t>
  </si>
  <si>
    <t>Very stony land</t>
  </si>
  <si>
    <t>rVS</t>
  </si>
  <si>
    <t>Tropohumults-Dystrandepts association</t>
  </si>
  <si>
    <t>Orthoxic Tropohumults</t>
  </si>
  <si>
    <t>rTP</t>
  </si>
  <si>
    <t>Tropaquods</t>
  </si>
  <si>
    <t>rTO</t>
  </si>
  <si>
    <t>Stony steep land</t>
  </si>
  <si>
    <t>rSY</t>
  </si>
  <si>
    <t>Stony land</t>
  </si>
  <si>
    <t>rST</t>
  </si>
  <si>
    <t>Stony colluvial land</t>
  </si>
  <si>
    <t>Typic Troporthents</t>
  </si>
  <si>
    <t>rSO</t>
  </si>
  <si>
    <t>Stony blown-out land</t>
  </si>
  <si>
    <t>rSN</t>
  </si>
  <si>
    <t>Stony alluvial land</t>
  </si>
  <si>
    <t>Fluvents</t>
  </si>
  <si>
    <t>rSM</t>
  </si>
  <si>
    <t>Sandy alluvial land</t>
  </si>
  <si>
    <t>rSL</t>
  </si>
  <si>
    <t>Rubble land</t>
  </si>
  <si>
    <t>rRU</t>
  </si>
  <si>
    <t>Rough mountainous land</t>
  </si>
  <si>
    <t>rRT</t>
  </si>
  <si>
    <t>Rough broken and stony land</t>
  </si>
  <si>
    <t>rRS</t>
  </si>
  <si>
    <t>Rough broken land</t>
  </si>
  <si>
    <t>Dystrandepts</t>
  </si>
  <si>
    <t>rRR</t>
  </si>
  <si>
    <t>Rock outcrop</t>
  </si>
  <si>
    <t>rRO</t>
  </si>
  <si>
    <t>Rock land</t>
  </si>
  <si>
    <t>rRK</t>
  </si>
  <si>
    <t>Riverwash</t>
  </si>
  <si>
    <t>rRH</t>
  </si>
  <si>
    <t>Lava flows, aa</t>
  </si>
  <si>
    <t>rLW</t>
  </si>
  <si>
    <t>Hydrandepts-Tropaquods association</t>
  </si>
  <si>
    <t>rHT</t>
  </si>
  <si>
    <t>Honomanu-Amalu association</t>
  </si>
  <si>
    <t>Honomanu silty clay, 5 to 25 percent slopes</t>
  </si>
  <si>
    <t>Cinder land</t>
  </si>
  <si>
    <t>rCI</t>
  </si>
  <si>
    <t>Amalu-Olokui association, 3 to 20 percent slopes</t>
  </si>
  <si>
    <t>rAOD</t>
  </si>
  <si>
    <t>Amalu peat, 3 to 20 percent slopes, MLRA 164</t>
  </si>
  <si>
    <t>rAMD</t>
  </si>
  <si>
    <t>Alakai mucky peat, 0 to 30 percent slopes, MLRA 164</t>
  </si>
  <si>
    <t>Terric Haplosaprists</t>
  </si>
  <si>
    <t>rAAE</t>
  </si>
  <si>
    <t>Quarry</t>
  </si>
  <si>
    <t>QU</t>
  </si>
  <si>
    <t>Puu Pa very stony medial silt loam, 15 to 50 percent slopes, MLRA 157</t>
  </si>
  <si>
    <t>Puuone sand, 7 to 30 percent slopes</t>
  </si>
  <si>
    <t>Paumalu-Badland complex</t>
  </si>
  <si>
    <t>Papaa clay, 35 to 70 percent slopes</t>
  </si>
  <si>
    <t>Papaa clay, 20 to 35 percent slopes</t>
  </si>
  <si>
    <t>Papaa clay, 6 to 25 percent slopes</t>
  </si>
  <si>
    <t>Pane silt loam, 7 to 25 percent slopes</t>
  </si>
  <si>
    <t>Puu Opae silty clay loam, 25 to 40 percent slopes</t>
  </si>
  <si>
    <t>Puu Opae silty clay loam, 15 to 25 percent slopes</t>
  </si>
  <si>
    <t>Puu Opae silty clay loam, 8 to 15 percent slopes</t>
  </si>
  <si>
    <t>Pulehu very stony clay loam, 0 to 12 percent slopes</t>
  </si>
  <si>
    <t>Pulehu stony clay loam, 2 to 6 percent slopes</t>
  </si>
  <si>
    <t>Pulehu cobbly clay loam, 3 to 7 percent slopes</t>
  </si>
  <si>
    <t>Pulehu cobbly clay loam, 0 to 3 percent slopes</t>
  </si>
  <si>
    <t>Pulehu clay loam, 0 to 3 percent slopes , MLRA 163</t>
  </si>
  <si>
    <t>Pulehu cobbly silt loam, 3 to 7 percent slopes</t>
  </si>
  <si>
    <t>Pulehu cobbly silt loam, 0 to 3 percent slopes</t>
  </si>
  <si>
    <t>Pulehu silt loam, 3 to 7 percent slopes</t>
  </si>
  <si>
    <t>Pulehu silt loam, 0 to 3 percent slopes</t>
  </si>
  <si>
    <t>Pulehu sandy loam, 2 to 6 percent slopes, MLRA 163</t>
  </si>
  <si>
    <t>Pulehu stony sandy loam, 0 to 7 percent slopes, MLRA 163</t>
  </si>
  <si>
    <t>Puhi silty clay loam, 25 to 40 percent slopes</t>
  </si>
  <si>
    <t>Puhi silty clay loam, 15 to 25 percent slopes</t>
  </si>
  <si>
    <t>Puhi silty clay loam, 8 to 15 percent slopes</t>
  </si>
  <si>
    <t>Puhi silty clay loam, 3 to 8 percent slopes</t>
  </si>
  <si>
    <t>Puhi silty clay loam, 0 to 3 percent slopes</t>
  </si>
  <si>
    <t>Pooku silty clay, 25 to 40 percent slopes</t>
  </si>
  <si>
    <t>Pooku silty clay, 15 to 25 percent slopes</t>
  </si>
  <si>
    <t>Pooku silty clay, 8 to 15 percent slopes</t>
  </si>
  <si>
    <t>Pooku silty clay, 0 to 8 percent slopes</t>
  </si>
  <si>
    <t>Pooku silty clay loam, 8 to 25 percent slopes</t>
  </si>
  <si>
    <t>Pooku silty clay loam, 3 to 8 percent slopes</t>
  </si>
  <si>
    <t>Pohakupu silty clay loam, 8 to 15 percent slopes</t>
  </si>
  <si>
    <t>Pohakupu silty clay loam, 0 to 8 percent slopes, MLRA 158</t>
  </si>
  <si>
    <t>Pamoa stony silty clay, 5 to 20 percent slopes, eroded, MLRA 158</t>
  </si>
  <si>
    <t>Pits</t>
  </si>
  <si>
    <t>PIT</t>
  </si>
  <si>
    <t>Pamoa silty clay, 5 to 20 percent slopes, eroded, MLRA 158</t>
  </si>
  <si>
    <t>Pamoa silty clay, 5 to 20 percent slopes, MLRA 158</t>
  </si>
  <si>
    <t>Pakala extremely stony sandy clay loam, 0 to 12 percent slopes, MLRA 158</t>
  </si>
  <si>
    <t>Pearl Harbor clay, 0 to 2 percent slopes, MLRA 163</t>
  </si>
  <si>
    <t>Paaiki loam, 35 to 70 percent slopes</t>
  </si>
  <si>
    <t>Paaiki loam, 6 to 35 percent slopes</t>
  </si>
  <si>
    <t>Pauwela clay, 15 to 25 percent slopes</t>
  </si>
  <si>
    <t>Pauwela clay, 7 to 15 percent slopes</t>
  </si>
  <si>
    <t>Pauwela clay, 3 to 7 percent slopes</t>
  </si>
  <si>
    <t>Paumalu silty clay, 40 to 70 percent slopes</t>
  </si>
  <si>
    <t>Paumalu silty clay, 25 to 40 percent slopes</t>
  </si>
  <si>
    <t>Paumalu silty clay, 15 to 25 percent slopes</t>
  </si>
  <si>
    <t>Paumalu silty clay, 8-15 percent slopes</t>
  </si>
  <si>
    <t>Paumalu silty clay, 3 to 8 percent slopes</t>
  </si>
  <si>
    <t>Pakala clay loam, 2 to 10 percent slopes</t>
  </si>
  <si>
    <t>Pakala clay loam, 0 to 2 percent slopes</t>
  </si>
  <si>
    <t>Paia silty clay, 7 to 15 percent slopes, eroded</t>
  </si>
  <si>
    <t>Torroxic Haplustolls</t>
  </si>
  <si>
    <t>Paia silty clay, 7 to 15 percent slopes</t>
  </si>
  <si>
    <t>Paia silty clay, 3 to 7 percent slopes</t>
  </si>
  <si>
    <t>Paaloa clay, 2 to 12 percent</t>
  </si>
  <si>
    <t>Paaloa silty clay, 3 to 12 percent slopes</t>
  </si>
  <si>
    <t>Opihikao - Lava flows complex, 0 to 6 percent slopes, MLRA 159A</t>
  </si>
  <si>
    <t>Olokui silty clay loam, 3 to 30 percent slopes, MLRA 158</t>
  </si>
  <si>
    <t>OOE</t>
  </si>
  <si>
    <t>Olinda loam, 20 to 40 percent slopes</t>
  </si>
  <si>
    <t>Olinda loam, 12 to 20 percent slopes</t>
  </si>
  <si>
    <t>Olinda loam, 4 to 12 percent slopes</t>
  </si>
  <si>
    <t>Oli medial silt loam, 30 to 70 percent slopes, MLRA 165</t>
  </si>
  <si>
    <t>Oli medial silt loam, 10 to 30 percent slopes, MLRA 165</t>
  </si>
  <si>
    <t>Oli medial silt loam, 13 to 45 percent slopes, MLRA 164</t>
  </si>
  <si>
    <t>Oli medial loam, 10 to 40 percent slopes, MLRA 158</t>
  </si>
  <si>
    <t>OlD</t>
  </si>
  <si>
    <t>Olelo silty clay, 3 to 15 percent slopes, MLRA 164</t>
  </si>
  <si>
    <t>Typic Kanhaplohumults</t>
  </si>
  <si>
    <t>Oanapuka extremely stony silt loam, 7 to 25 percent slopes</t>
  </si>
  <si>
    <t>Oanapuka very stony silt loam, 7 to 25 percent slopes, MLRA 157</t>
  </si>
  <si>
    <t>Nonopahu stony clay, 2 to 12 percent slopes</t>
  </si>
  <si>
    <t>Nonopahu clay, 2 to 10 percent slopes</t>
  </si>
  <si>
    <t>Niulii medial silty clay loam, medium textured subsoil, 7 to 30 percent slopes, MLRA 164</t>
  </si>
  <si>
    <t>Niulii silty clay loam, 7 to 30 percent slopes</t>
  </si>
  <si>
    <t>Nohili clay</t>
  </si>
  <si>
    <t>Niu silty clay loam 20 to 35 percent slopes, eroded, MLRA 158</t>
  </si>
  <si>
    <t>Niu silty clay loam, 6 to 20 percent slopes, eroded, MLRA 158</t>
  </si>
  <si>
    <t>Niu silty clay loam, 12 to 20 percent slopes, MLRA 158</t>
  </si>
  <si>
    <t>Niu silty clay loam, 6 to 12 percent slopes, MLRA 158</t>
  </si>
  <si>
    <t>Naiwa silty clay loam, 7 to 15 percent slopes, severely eroded</t>
  </si>
  <si>
    <t>Naiwa silty clay loam, 3 to 13 percent slopes, MLRA 165</t>
  </si>
  <si>
    <t>Marsh</t>
  </si>
  <si>
    <t>Tropohemists</t>
  </si>
  <si>
    <t>MZ</t>
  </si>
  <si>
    <t>Malama extremely stony highly decomposed plant material, 3 to 20 percent slopes, MLRA 159A</t>
  </si>
  <si>
    <t>Makena loam, stony complex, 3 to 15 percent slopes</t>
  </si>
  <si>
    <t>Makaalae clay, 7 to 40 percent slopes</t>
  </si>
  <si>
    <t>Lithic Eutrotorrox, 15 to 25 percent slopes, severely eroded, MLRA 158</t>
  </si>
  <si>
    <t>Molokai silty clay loam, 15 to 25 percent slopes</t>
  </si>
  <si>
    <t>Molokai silty clay loam, 7 to 15 percent slopes, severely eroded, MLRA 158</t>
  </si>
  <si>
    <t>Molokai silty clay loam, 7 to 15 percent slopes, MLRA 158</t>
  </si>
  <si>
    <t>Molokai silty clay loam, 3 to 7 percent slopes, severely eroded</t>
  </si>
  <si>
    <t>Molokai silty clay loam, 3 to 7 percent slopes, MLRA 158</t>
  </si>
  <si>
    <t>Molokai silty clay loam, 0 to 3 percent slopes, MLRA 158</t>
  </si>
  <si>
    <t>Mokuleia clay</t>
  </si>
  <si>
    <t>Mokuleia clay loam, poorly drained variant</t>
  </si>
  <si>
    <t>Mokuleia clay loam</t>
  </si>
  <si>
    <t>Mokuleia loam</t>
  </si>
  <si>
    <t>Mokuleia fine sandy loam</t>
  </si>
  <si>
    <t>Manana silty clay, 25 to 40 percent slopes</t>
  </si>
  <si>
    <t>Manana silty clay, 12 to 25 percent slopes, eroded</t>
  </si>
  <si>
    <t>Manana silty clay, 15 to 25 percent slopes</t>
  </si>
  <si>
    <t>Manana silty clay, 8 to 15 percent slopes</t>
  </si>
  <si>
    <t>Manana silty clay, 3 to 8 percent slopes</t>
  </si>
  <si>
    <t>Manana silty clay loam, 12 to 25 percent slopes, eroded</t>
  </si>
  <si>
    <t>Manana silty clay loam, 6 to 12 percent slopes</t>
  </si>
  <si>
    <t>Manana silty clay loam, 2 to 6 percent slopes</t>
  </si>
  <si>
    <t>Mamala cobbly silty clay loam, 0 to 12 percent slopes, MLRA 163</t>
  </si>
  <si>
    <t>Lithic Haplocambids</t>
  </si>
  <si>
    <t>Mala silty clay, 3 to 7 percent slopes, MLRA 163</t>
  </si>
  <si>
    <t>Mala silty clay, 0 to 3 percent slopes, MLRA 163</t>
  </si>
  <si>
    <t>Makiki stony clay loam, 0 to 3 percent slopes</t>
  </si>
  <si>
    <t>MlA</t>
  </si>
  <si>
    <t>Makiki clay loam, 0 to 2 percent slopes</t>
  </si>
  <si>
    <t>MkA</t>
  </si>
  <si>
    <t>Makaalae extremely stony silty clay, 7 to 25 percent slopes</t>
  </si>
  <si>
    <t>Makaalae silty clay, 7 to 25 percent slopes</t>
  </si>
  <si>
    <t>Makaweli stony silty clay loam, 20 to 35 percent slopes, MLRA 158</t>
  </si>
  <si>
    <t>Makaweli stony silty clay loam, 12 to 20 percent slopes</t>
  </si>
  <si>
    <t>Makaweli stony silty clay loam, 6 to 12 percent slopes</t>
  </si>
  <si>
    <t>Makaweli stony silty clay loam, 0 to 6 percent slopes</t>
  </si>
  <si>
    <t>Makaweli silty clay loam, 20 to 35 percent slopes, eroded</t>
  </si>
  <si>
    <t>Makaweli silty clay loam, 12 to 20 percent slopes, MLRA 158</t>
  </si>
  <si>
    <t>Makaweli silty clay loam, 6 to 12 percent slopes, MLRA 158</t>
  </si>
  <si>
    <t>Makaweli silty clay loam, 0 to 6 percent slopes, MLRA 158</t>
  </si>
  <si>
    <t>Makawao silty clay, 7 to 15 percent slopes</t>
  </si>
  <si>
    <t>Makawao silty clay, 3 to 7 percent slopes</t>
  </si>
  <si>
    <t>Makapili silty clay, 25 to 40 percent slopes</t>
  </si>
  <si>
    <t>Makapili silty clay, 15 to 25 percent slopes</t>
  </si>
  <si>
    <t>Makapili silty clay, 8 to 15 percent slopes</t>
  </si>
  <si>
    <t>Makapili silty clay, 0 to 8 percent slopes</t>
  </si>
  <si>
    <t>Makalapa clay, 12 to 20 percent slopes</t>
  </si>
  <si>
    <t>Makalapa clay, 6 to 12 percent slopes</t>
  </si>
  <si>
    <t>Makalapa clay, 2 to 6 percent slopes</t>
  </si>
  <si>
    <t>Mahana silty clay loam, 20 to 35 percent slopes, eroded</t>
  </si>
  <si>
    <t>Mahana silty clay loam, 12 to 20 percent slopes, eroded</t>
  </si>
  <si>
    <t>Mahana silty clay loam, 6 to 12 percent slopes, eroded</t>
  </si>
  <si>
    <t>Mahana-Badland complex</t>
  </si>
  <si>
    <t>Mahana silt loam, 20-35 percent slopes, severely eroded</t>
  </si>
  <si>
    <t>Typic Acrohumox, Inceptic Haplustox</t>
  </si>
  <si>
    <t>Mahana silt loam, 20 to 35 percent slopes</t>
  </si>
  <si>
    <t>Mahana silt loam, 12 to 20 percent slopes, severely eroded</t>
  </si>
  <si>
    <t>Mahana silt loam, 12 to 20 percent slopes</t>
  </si>
  <si>
    <t>Mahana silt loam, 6 to 12 percent slopes</t>
  </si>
  <si>
    <t>Lualualei stony clay, 2 to 6 percent slopes</t>
  </si>
  <si>
    <t>Lualualei stony clay, 0 to 2 percent slopes</t>
  </si>
  <si>
    <t>Lualualei clay, 2 to 6 percent slopes, MLRA 163</t>
  </si>
  <si>
    <t>Lualualei clay, 0 to 2 percent slopes, MLRA 163</t>
  </si>
  <si>
    <t>Lualualei extremely cobbly clay, moist, 3 to 35 percent slopes, MLRA 164</t>
  </si>
  <si>
    <t>Lolekaa silty clay, 40 to 70 percent slopes</t>
  </si>
  <si>
    <t>Typic Palehumults</t>
  </si>
  <si>
    <t>Lolekaa silty clay, 25 to 40 percent slopes</t>
  </si>
  <si>
    <t>Lolekaa silty clay, 15 to 25 percent slopes</t>
  </si>
  <si>
    <t>Lolekaa silty clay, 8 to 15 percent slopes</t>
  </si>
  <si>
    <t>Lolekaa silty clay, 3 to 8 percent slopes</t>
  </si>
  <si>
    <t>Laumaia extremely stony loam, 7 to 40 percent slopes</t>
  </si>
  <si>
    <t>Laumaia loam, 40 to 70 percent slopes</t>
  </si>
  <si>
    <t>Laumaia loam, 7 to 40 percent slopes</t>
  </si>
  <si>
    <t>Lihue gravelly silty clay, 8 to 15 percent slopes</t>
  </si>
  <si>
    <t>LlC</t>
  </si>
  <si>
    <t>Lihue gravelly silty clay, 0 to 8 percent slopes</t>
  </si>
  <si>
    <t>LlB</t>
  </si>
  <si>
    <t>Lihue silty clay, 25 to 40 percent slopes, eroded</t>
  </si>
  <si>
    <t>Lihue silty clay, 15 to 25 percent slopes</t>
  </si>
  <si>
    <t>Lihue silty clay, 8 to 15 percent slopes</t>
  </si>
  <si>
    <t>Lihue silty clay, 0 to 8 percent slopes</t>
  </si>
  <si>
    <t>Leilehua silty clay, 6 to 12 percent</t>
  </si>
  <si>
    <t>Leilehua silty clay, 2 to 6 percent slopes</t>
  </si>
  <si>
    <t>Lawai silty clay, 15 to 25 percent slopes</t>
  </si>
  <si>
    <t>Lawai silty clay, 8 to 15 percent slopes</t>
  </si>
  <si>
    <t>Lawai silty clay, 0 to 8 percent slopes</t>
  </si>
  <si>
    <t>Lahaina silty clay, 25 to 40 percent slopes, severely eroded, MLRA 158</t>
  </si>
  <si>
    <t>Lahaina silty clay, 15 to 25 percent slopes, severely eroded, MLRA 158</t>
  </si>
  <si>
    <t>LaD3</t>
  </si>
  <si>
    <t>Lahaina silty clay, 15 to 25 percent slopes</t>
  </si>
  <si>
    <t>Lahaina silty clay, 7 to 15 percent slopes, severely eroded, MLRA 158</t>
  </si>
  <si>
    <t>Lahaina silty clay, 7 to 15 percent slopes, MLRA 158</t>
  </si>
  <si>
    <t>Lahaina silty clay, 3 to 7 percent slopes, severely eroded, MLRA 158</t>
  </si>
  <si>
    <t>Lahaina silty clay, 3 to 7 percent slopes, MLRA 158</t>
  </si>
  <si>
    <t>Lahaina silty clay, 0 to 3 percent slopes, MLRA 158</t>
  </si>
  <si>
    <t>Kunuweia very gravelly clay loam, 0 to 15 percent slopes</t>
  </si>
  <si>
    <t>Kunia silty clay, 8 to 15 percent slopes</t>
  </si>
  <si>
    <t>Kunia silty clay, 3 to 8 percent slopes</t>
  </si>
  <si>
    <t>Kunia silty clay, 0 to 3 percent slopes</t>
  </si>
  <si>
    <t>Kula loam, 12 to 20 percent slopes</t>
  </si>
  <si>
    <t>Kula loam, 4 to 12 percent slopes</t>
  </si>
  <si>
    <t>Kula - Rock outcrop complex, 12 to 40 percent slopes, MLRA 160</t>
  </si>
  <si>
    <t>Kula cobbly medial loam, 12 to 20 percent slopes, MLRA 160</t>
  </si>
  <si>
    <t>Kolokolo clay loam</t>
  </si>
  <si>
    <t>Koolau silty clay, 8 to 30 percent slopes</t>
  </si>
  <si>
    <t>Koolau silty clay, 0 to 8 percent slopes</t>
  </si>
  <si>
    <t>Koloa stony silty clay, 15 to 25 percent slopes</t>
  </si>
  <si>
    <t>Koloa stony silty clay, 8 to 15 percent, MLRA 158</t>
  </si>
  <si>
    <t>Koloa stony silty clay, 3 to 8 percent slopes, MLRA 158</t>
  </si>
  <si>
    <t>Kolokolo extremely stony clay loam</t>
  </si>
  <si>
    <t>Kolekole silty clay loam, 12 to 25 percent slopes</t>
  </si>
  <si>
    <t>Kolekole silty clay loam, 6 to 12 percent slopes</t>
  </si>
  <si>
    <t>Kolekole silty clay loam, 1 to 6 percent slopes</t>
  </si>
  <si>
    <t>Kokokahi very stony clay, 0 to 35 percent slopes</t>
  </si>
  <si>
    <t>Kokokahi clay, 6 to 12 percent slopes</t>
  </si>
  <si>
    <t>Kokee silty clay loam, 35 to 70 percent slopes</t>
  </si>
  <si>
    <t>Kokee silty clay loam, 0 to 35 percent slopes</t>
  </si>
  <si>
    <t>Koko silt loam, 12 to 25 percent slopes</t>
  </si>
  <si>
    <t>Koko silt loam, 6 to 12 percent slopes</t>
  </si>
  <si>
    <t>Koko silt loam, 2 to 6 percent slopes</t>
  </si>
  <si>
    <t>Koele-Rocky complex</t>
  </si>
  <si>
    <t>Koele-Badland complex, 7 to 70 percent slopes, MLRA 158</t>
  </si>
  <si>
    <t>Koele silty clay loam, 15 to 25 percent slopes, MLRA 158</t>
  </si>
  <si>
    <t>Koele silty clay loam, 7 to 15 percent slopes, MLRA 158</t>
  </si>
  <si>
    <t>Koele silty clay loam, 3 to 7 percent slopes, MLRA 158</t>
  </si>
  <si>
    <t>Kemoo-Badland complex</t>
  </si>
  <si>
    <t>Kemoo silty clay, 35 to 70 percent slopes</t>
  </si>
  <si>
    <t>Kemoo silty clay, 20 to 35 percent slopes</t>
  </si>
  <si>
    <t>Kemoo silty clay, 12 to 20 percent slopes</t>
  </si>
  <si>
    <t>Kemoo silty clay, 6 to 12 percent slopes</t>
  </si>
  <si>
    <t>Kemoo silty clay, 2 to 6 percent slopes</t>
  </si>
  <si>
    <t>Kekaha extremely stony silty clay loam, 0 to 35 percent slopes, MLRA 158</t>
  </si>
  <si>
    <t>Typic Haplocambids</t>
  </si>
  <si>
    <t>Kekaha clay, 0 to 2 percent slopes</t>
  </si>
  <si>
    <t>Kekaha silty clay, 2 to 6 percent slopes</t>
  </si>
  <si>
    <t>Kekaha silty clay, 0 to 2 percent slopes</t>
  </si>
  <si>
    <t>Keawakapu extremely stony silty clay loam, 3 to 25 percent slopes, MLRA 157</t>
  </si>
  <si>
    <t>Aridic Argiustolls</t>
  </si>
  <si>
    <t>Keahua stony silty clay, 7 to 15 percent slopes</t>
  </si>
  <si>
    <t>Keahua cobbly silty clay, 7 to 15 percent slopes</t>
  </si>
  <si>
    <t>Keahua silty clay, 7 to 15 percent slopes</t>
  </si>
  <si>
    <t>Keahua silty clay loam, 7 to 15 percent slopes</t>
  </si>
  <si>
    <t>Keahua very stony silty clay loam, 7 to 25 percent slopes</t>
  </si>
  <si>
    <t>Keahua silty clay loam, 3 to 7 percent slopes</t>
  </si>
  <si>
    <t>Keahua cobbly silty clay loam, 15 to 25 percent slopes</t>
  </si>
  <si>
    <t>Keahua cobbly silty clay loam, 7 to 15 percent slopes</t>
  </si>
  <si>
    <t>Keahua cobbly silty clay loam, 3 to 7 percent slopes</t>
  </si>
  <si>
    <t>Kealia silt loam, frequent ponding, 0 to 1 percent slopes, MLRA 163</t>
  </si>
  <si>
    <t>Keaau clay, saline, 0 to 2 percent slopes</t>
  </si>
  <si>
    <t>Keaau stony clay, 2 to 6 percent slopes</t>
  </si>
  <si>
    <t>Keaau clay, 0 to 2 percent slopes</t>
  </si>
  <si>
    <t>Kaupo extremely stony silty clay, 3 to 25 percent slopes, MLRA 159A</t>
  </si>
  <si>
    <t>Kaupo very stony silty clay loam, 3 to 25 percent slopes, MLRA 159A</t>
  </si>
  <si>
    <t>Kawaihapai silty clay loam, 2 to 7 percent slopes</t>
  </si>
  <si>
    <t>KlcB</t>
  </si>
  <si>
    <t>Kawaihapai clay loam, 6 to 15 percent slopes</t>
  </si>
  <si>
    <t>KlC</t>
  </si>
  <si>
    <t>Kawaihapai very stony clay loam, 0 to 15 percent slopes, MLRA 158</t>
  </si>
  <si>
    <t>KlbC</t>
  </si>
  <si>
    <t>Kawaihapai clay loam, 2 to 6 percent slopes</t>
  </si>
  <si>
    <t>KlB</t>
  </si>
  <si>
    <t>Kawaihapai stony clay loam, 2 to 6 percent slopes, MLRA 158</t>
  </si>
  <si>
    <t>KlaB</t>
  </si>
  <si>
    <t>Kawaihapai stony clay loam, 0 to 2 percent slopes</t>
  </si>
  <si>
    <t>KlaA</t>
  </si>
  <si>
    <t>Kawaihapai clay loam, 0 to 2 percent slopes, MLRA 158</t>
  </si>
  <si>
    <t>Kapuhikani extremely stony clay, 3 to 15 percent slopes, MLRA 163</t>
  </si>
  <si>
    <t>Kapaa silty clay, 25 to 40 percent slopes</t>
  </si>
  <si>
    <t>Kapaa silty clay, 15 to 25 percent slopes</t>
  </si>
  <si>
    <t>Kapaa silty clay, 8 to 15 percent slopes</t>
  </si>
  <si>
    <t>Kapaa silty clay, 3 to 8 percent slopes</t>
  </si>
  <si>
    <t>Kapaa silty clay, 40 to 100 percent slopes</t>
  </si>
  <si>
    <t>Kaneohe silty clay, 30 to 65 percent slopes</t>
  </si>
  <si>
    <t>Kaneohe silty clay loam, 30 to 65 percent slopes</t>
  </si>
  <si>
    <t>Kaneohe silty clay loam, 15 to 30 percent slopes</t>
  </si>
  <si>
    <t>Kaneohe silty clay loam, 5 to 15 percent slopes</t>
  </si>
  <si>
    <t>Kanepuu silty clay, 7 to 15 percent slopes, eroded, MLRA 158</t>
  </si>
  <si>
    <t>Kanepuu silty clay, 7 to 15 percent slopes, MLRA 158</t>
  </si>
  <si>
    <t>Kanepuu silty clay, 3 to 7 percent slopes, eroded, MLRA 158</t>
  </si>
  <si>
    <t>Kanepuu silty clay, 3 to 7 percent slopes, MLRA 158</t>
  </si>
  <si>
    <t>Kamaole extremely stony silt loam, 3 to 15 percent slopes</t>
  </si>
  <si>
    <t>Aridic Haplustolls</t>
  </si>
  <si>
    <t>Kamaole very stony silt loam, 3 to 15 percent slopes</t>
  </si>
  <si>
    <t>Kaneohe silty clay, 8 to 15 percent slopes</t>
  </si>
  <si>
    <t>Kaneohe silty clay, 3 to 8 percent slopes</t>
  </si>
  <si>
    <t>Kalaupapa very stony silty clay loam, 3 to 25 percent slopes, MLRA 164</t>
  </si>
  <si>
    <t>Kaloko clay, noncalcareous variant</t>
  </si>
  <si>
    <t>Kaloko clay, 0 to 2 percent slope, MLRA 163</t>
  </si>
  <si>
    <t>Kaloko clay loam</t>
  </si>
  <si>
    <t>Kalapa - Rock outcrop complex, 40 to 70 percent slopes, MLRA 164</t>
  </si>
  <si>
    <t>Typic Palehumults, Typic Natraquerts</t>
  </si>
  <si>
    <t>Kalihi clay</t>
  </si>
  <si>
    <t>Kaipoioi very rocky loam, 7 to 40 percent slopes</t>
  </si>
  <si>
    <t>Kaipoioi loam, 7 to 40 percent slopes</t>
  </si>
  <si>
    <t>Kalapa silty clay, 40 to 70 percent slopes</t>
  </si>
  <si>
    <t>Kalapa silty clay, 20 to 40 percent slopes</t>
  </si>
  <si>
    <t>Kalapa silty clay, 8 to 20 percent slopes</t>
  </si>
  <si>
    <t>Kaimu extremely stony peat, 7 to 25 percent slopes</t>
  </si>
  <si>
    <t>Kalae silty clay, 25 to 40 percent slopes, severely eroded</t>
  </si>
  <si>
    <t>Kalae silty clay, dry, 15 to 25 percent slopes, severely eroded, MLRA 158</t>
  </si>
  <si>
    <t>Kalae silty clay, 5-15 percent slopes, severely eroded</t>
  </si>
  <si>
    <t>Kalae silty clay, dry, 7 to 15 percent slopes, MLRA 158</t>
  </si>
  <si>
    <t>Kalae silty clay, dry, 2 to 7 percent slopes, MLRA 158</t>
  </si>
  <si>
    <t>Kailua silty clay, 3 to 25 percent slopes</t>
  </si>
  <si>
    <t>Kahana silty clay, 15 to 25 percent slopes</t>
  </si>
  <si>
    <t>Kahana silty clay, 7 to 15 percent slopes</t>
  </si>
  <si>
    <t>Kahana silty clay, 3 to 7 percent slopes</t>
  </si>
  <si>
    <t>Kaena clay, brown variant, 6 to 12 percent slopes</t>
  </si>
  <si>
    <t>Kaena clay, brown variant, 1 to 6 percent slopes</t>
  </si>
  <si>
    <t>Kahanui gravelly silty clay, 3 to 20 percent slopes</t>
  </si>
  <si>
    <t>Typic Placorthods</t>
  </si>
  <si>
    <t>Kahanui silty clay, 3 to 20 percent slopes, MLRA 158</t>
  </si>
  <si>
    <t>Kaena very stony clay, 10 to 35 percent slopes</t>
  </si>
  <si>
    <t>Kaena stony clay, 12 to 20 percent slopes</t>
  </si>
  <si>
    <t>Kaena stony clay, 6 to 12 percent slopes</t>
  </si>
  <si>
    <t>Kaena stony clay, 2 to 6 percent slopes</t>
  </si>
  <si>
    <t>Kaena clay, 6 to 12 percent slopes</t>
  </si>
  <si>
    <t>Kaena clay, 2 to 6 percent slopes</t>
  </si>
  <si>
    <t>Jaucas-Dune land complex, 0 to 15 percent slopes, MLRA 158</t>
  </si>
  <si>
    <t>Jaucas loamy fine sand, dark variant, 0 to 8 percent slopes</t>
  </si>
  <si>
    <t>Jaucas loamy fine sand, 0 to 8 percent slopes</t>
  </si>
  <si>
    <t>Jaucas sand, saline, 0 to 12 percent slopes, MLRA 163</t>
  </si>
  <si>
    <t>Jaucas sand, 0 to 15 percent slopes, MLRA 163</t>
  </si>
  <si>
    <t>Io silt loam, 7 to 25 percent slopes</t>
  </si>
  <si>
    <t>Ioleau silty clay loam, 20 to 30 percent slopes, eroded</t>
  </si>
  <si>
    <t>Ioleau silty clay loam, 12 to 20 percent slopes, eroded</t>
  </si>
  <si>
    <t>Ioleau silty clay loam, 6 to 12 percent slopes</t>
  </si>
  <si>
    <t>Ioleau silty clay loam, 2 to 6 percent slopes</t>
  </si>
  <si>
    <t>Iao clay, 7 to 15 percent slopes, MLRA 163</t>
  </si>
  <si>
    <t>Iao clay, 3 to 7 percent slopes, MLRA 163</t>
  </si>
  <si>
    <t>Iao cobbly silty clay, 7 to 15 percent slopes</t>
  </si>
  <si>
    <t>Iao cobbly silty clay, 3 to 7 percent slopes</t>
  </si>
  <si>
    <t>Iao silty clay, 3 to 7 percent slopes, MLRA 158</t>
  </si>
  <si>
    <t>Iao silty clay, 0 to 3 percent slopes, MLRA 163</t>
  </si>
  <si>
    <t>Hoolehua silty clay, 15 to 35 percent slopes, MLRA 164</t>
  </si>
  <si>
    <t>Hoolehua silty clay, 7 to 15 percent slopes</t>
  </si>
  <si>
    <t>Hoolehua silty clay, 3 to 7 percent slopes</t>
  </si>
  <si>
    <t>Hoolehua silty clay, 0 to 3 percent slopes</t>
  </si>
  <si>
    <t>Hoolehua silty clay loam, 3 to 10 percent slopes, severely eroded, MLRA 158</t>
  </si>
  <si>
    <t>Honouliuli clay, 2 to 6 percent slopes</t>
  </si>
  <si>
    <t>Honouliuli clay, 0 to 2 percent slopes</t>
  </si>
  <si>
    <t>Honolua silty clay, 15 to 25 percent slopes</t>
  </si>
  <si>
    <t>Honolua silty clay, 7 to 15 percent slopes</t>
  </si>
  <si>
    <t>Holomua silt loam, 7 to 15 percent slopes, severely eroded</t>
  </si>
  <si>
    <t>Holomua silt loam, 7 to 15 percent slopes</t>
  </si>
  <si>
    <t>Holomua silt loam, 3 to 7 percent slopes, severely eroded</t>
  </si>
  <si>
    <t>Holomua silt loam, 3 to 7 percent slopes</t>
  </si>
  <si>
    <t>Holomua silt loam, 0 to 3 percent slopes</t>
  </si>
  <si>
    <t>Hanamaulu bouldery silty clay, 10 to 35 percent slopes</t>
  </si>
  <si>
    <t>Hanamaulu stony silty clay, 10 to 35 percent slopes</t>
  </si>
  <si>
    <t>Hanamaulu silty clay, 25 to 40 percent slopes</t>
  </si>
  <si>
    <t>Hanamaulu silty clay, 15 to 25 percent slopes</t>
  </si>
  <si>
    <t>Hanamaulu silty clay, 8 to 15 percent slopes</t>
  </si>
  <si>
    <t>Hanamaulu silty clay, 3 to 8 percent slopes</t>
  </si>
  <si>
    <t>Hanalei silty clay, deep water table, 0 to 6 percent slopes</t>
  </si>
  <si>
    <t>Hanalei peaty silty clay loam, 0 to 2 percent slopes</t>
  </si>
  <si>
    <t>Hanalei stony silty clay, 2 to 6 percent slopes</t>
  </si>
  <si>
    <t>Hulua gravelly silty clay loam, 25 to 70 percent slopes</t>
  </si>
  <si>
    <t>HNUF</t>
  </si>
  <si>
    <t>Hulua gravelly silty clay loam, 3 to 25 percent slopes</t>
  </si>
  <si>
    <t>HNUD</t>
  </si>
  <si>
    <t>Hanalei silty clay, 2 to 6 percent slopes</t>
  </si>
  <si>
    <t>Hanalei silty clay, 0 to 2 percent slopes, MLRA 167</t>
  </si>
  <si>
    <t>Hihimanu silty clay loam, 40 to 70 percent slopes</t>
  </si>
  <si>
    <t>Hanalei silty clay loam, 0 to 2 percent slopes</t>
  </si>
  <si>
    <t>Helemano silty clay, 30 to 90 percent slopes</t>
  </si>
  <si>
    <t>Hamakuapoko silty clay, 7 to 15 percent slopes, eroded</t>
  </si>
  <si>
    <t>Andic Palehumults</t>
  </si>
  <si>
    <t>Hamakuapoko silty clay, 7 to 15 percent slopes</t>
  </si>
  <si>
    <t>Hamakuapoko silty clay, 3 to 7 percent slopes</t>
  </si>
  <si>
    <t>Hana extremely stony silty clay loam, moderately deep variant, 3 to 15 percent slopes</t>
  </si>
  <si>
    <t>Hana silty clay loam, moderately deep variant, 3 to 15 percent slopes</t>
  </si>
  <si>
    <t>Hana extremely stony silty clay loam, 3 to 25 percent slopes</t>
  </si>
  <si>
    <t>Hana very stony silty clay loam, 3 to 25 percent slopes</t>
  </si>
  <si>
    <t>Haliimaile gravelly silty clay, 7 to 15 percent slopes, eroded</t>
  </si>
  <si>
    <t>Halawa silt loam, 35 to 70 percent slopes, eroded</t>
  </si>
  <si>
    <t>Halawa silt loam, 20 to 35 percent slopes</t>
  </si>
  <si>
    <t>Halawa silty clay, 3 to 25 percent slopes, severely eroded</t>
  </si>
  <si>
    <t>Halawa silty clay, 3 to 25 percent slopes, MLRA 164</t>
  </si>
  <si>
    <t>Haliimaile silty clay, 7 to 15 percent slopes</t>
  </si>
  <si>
    <t>Haliimaile silty clay, 3 to 7 percent slopes</t>
  </si>
  <si>
    <t>Haliimaile silty clay loam, 7 to 15 percent slopes</t>
  </si>
  <si>
    <t>Haliimaile silty clay loam, 3 to 7 percent slopes</t>
  </si>
  <si>
    <t>Halii gravelly silty clay, 25 to 40 percent slopes, eroded</t>
  </si>
  <si>
    <t>Anionic Acroperox</t>
  </si>
  <si>
    <t>Halii gravelly silty clay, 15 to 25 percent slopes, eroded</t>
  </si>
  <si>
    <t>Halii gravelly silty clay, 8 to 15 percent slopes</t>
  </si>
  <si>
    <t>Halii gravelly silty clay, 3 to 8 percent slopes</t>
  </si>
  <si>
    <t>Haleiwa silty clay, 2 to 6 percent slopes</t>
  </si>
  <si>
    <t>Haleiwa silty clay, 0 to 2 percent slopes</t>
  </si>
  <si>
    <t>Haleiwa very stony silty clay loam, 0 to 15 percent slopes, MLRA 164</t>
  </si>
  <si>
    <t>Haleiwa silty clay loam, 0 to 10 percent slopes, MLRA 164</t>
  </si>
  <si>
    <t>Haiku clay, 7 to 15 percent slopes, MLRA 167</t>
  </si>
  <si>
    <t>Haiku clay, 3 to 7 percent slopes, MLRA 167</t>
  </si>
  <si>
    <t>Haiku silty clay, 7 to 15 percent slopes, MLRA 167</t>
  </si>
  <si>
    <t>Haiku silty clay, 3 to 7 percent slopes, MLRA 167</t>
  </si>
  <si>
    <t>Gravel pits</t>
  </si>
  <si>
    <t>GPI</t>
  </si>
  <si>
    <t>Gullied land</t>
  </si>
  <si>
    <t>GL</t>
  </si>
  <si>
    <t>Fill land, mixed</t>
  </si>
  <si>
    <t>FL</t>
  </si>
  <si>
    <t>Fill land</t>
  </si>
  <si>
    <t>Fd</t>
  </si>
  <si>
    <t>Ewa stony silty clay, 6 to 12 percent slopes</t>
  </si>
  <si>
    <t>Ewa stony silty clay, 2 to 6 percent slopes</t>
  </si>
  <si>
    <t>Ewa stony silty clay, 0 to 2 percent slopes</t>
  </si>
  <si>
    <t>Ewa cobbly silty clay, 3 to 7 percent slopes, MLRA 163</t>
  </si>
  <si>
    <t>Ewa silty clay, 3 to 7 percent slopes, MLRA 163</t>
  </si>
  <si>
    <t>Ewa silty clay, 0 to 3 percent slopes</t>
  </si>
  <si>
    <t>Ewa silty clay loam, moderately shallow, 2 to 6 percent slopes</t>
  </si>
  <si>
    <t>Ewa silty clay loam, moderately shallow, 0 to 2 percent slopes</t>
  </si>
  <si>
    <t>Ewa cobbly silty clay loam, 3 to 7 percent slopes, MLRA 163</t>
  </si>
  <si>
    <t>Ewa cobbly silty clay loam, 0 to 3 percent slopes, MLRA 158</t>
  </si>
  <si>
    <t>Ewa silty clay loam, 6 to 12 percent slopes</t>
  </si>
  <si>
    <t>Ewa silty clay loam, 3 to 6 percent slopes</t>
  </si>
  <si>
    <t>Ewa silty clay loam, 0 to 3 percent slopes, MLRA 158</t>
  </si>
  <si>
    <t>Dune land</t>
  </si>
  <si>
    <t>DL</t>
  </si>
  <si>
    <t>Coral outcrop</t>
  </si>
  <si>
    <t>CR</t>
  </si>
  <si>
    <t>Cinder pit</t>
  </si>
  <si>
    <t>CPI</t>
  </si>
  <si>
    <t>Colluvial land</t>
  </si>
  <si>
    <t>CO</t>
  </si>
  <si>
    <t>Blown-out land</t>
  </si>
  <si>
    <t>BW</t>
  </si>
  <si>
    <t>Beaches</t>
  </si>
  <si>
    <t>BS</t>
  </si>
  <si>
    <t>Borrow pit</t>
  </si>
  <si>
    <t>BP</t>
  </si>
  <si>
    <t>Badland-Mahana complex</t>
  </si>
  <si>
    <t>BM</t>
  </si>
  <si>
    <t>Badland</t>
  </si>
  <si>
    <t>BL</t>
  </si>
  <si>
    <t>Alaeloa stony silty clay, overwash, 15 to 35 percent slopes</t>
  </si>
  <si>
    <t>Alaeloa stony silty clay, 3 to 15 percent slopes, severely eroded, MLRA 164</t>
  </si>
  <si>
    <t>Alaeloa silty clay, 40 to 70 percent slopes</t>
  </si>
  <si>
    <t>Alaeloa silty clay, 5 to 25 percent slopes, severely eroded, MLRA 164</t>
  </si>
  <si>
    <t>Alaeloa silty clay, older substrate, 15 to 35 percent slopes, MLRA 167</t>
  </si>
  <si>
    <t>Alaeloa silty clay, 7 to 15 percent slopes, MLRA 158</t>
  </si>
  <si>
    <t>Alaeloa silty clay, 3 to 7 percent slopes, MLRA 158</t>
  </si>
  <si>
    <t>Alae cobbly sandy loam, 3 to 7 percent slopes, MLRA 158</t>
  </si>
  <si>
    <t>and likely will be adjusted.</t>
  </si>
  <si>
    <t>Alae cobbly sandy loam, 0 to 3 percent slopes, MLRA 158</t>
  </si>
  <si>
    <t>on Kauai need field review</t>
  </si>
  <si>
    <t>Alae sandy loam, 3 to 7 percent slopes, MLRA 158</t>
  </si>
  <si>
    <t xml:space="preserve">Pasture Group assignments </t>
  </si>
  <si>
    <t>Waiakea-Onomea complex, 0 to 20 percent slopes</t>
  </si>
  <si>
    <t>Maile-Waiakea-Rock outcrop complex, 6 to 35 percent slopes</t>
  </si>
  <si>
    <t>Umikoa medial silt loam, 0 to 6 percent slopes</t>
  </si>
  <si>
    <t>Hanipoe medial fine sandy loam, 0 to 6 percent slopes</t>
  </si>
  <si>
    <t xml:space="preserve">isomesic </t>
  </si>
  <si>
    <t>Olaa cobbly hydrous loam, older substrate, 2 to 20 percent slopes</t>
  </si>
  <si>
    <t xml:space="preserve">isohyperthermic </t>
  </si>
  <si>
    <t>Hanipoe-Pohakulehu-Rock outcrop complex, 6 to 35 percent slopes</t>
  </si>
  <si>
    <t>Hanipoe medial fine sandy loam, 6 to 20 percent slopes</t>
  </si>
  <si>
    <t>Umikoa-Kemole-Rock outcrop complex, 6 to 35 percent slopes</t>
  </si>
  <si>
    <t>Umikoa medial silt loam, 6 to 20 percent slopes</t>
  </si>
  <si>
    <t>Honokaa hydrous silty clay loam, warm, 20 to 35 percent slopes</t>
  </si>
  <si>
    <t>Honokaa hydrous silty clay loam, warm, 10 to 20 percent slopes</t>
  </si>
  <si>
    <t>Honokaa hydrous silty clay loam, warm, 0 to 10 percent slopes</t>
  </si>
  <si>
    <t>Paauhau medial silty clay loam, 10 to 20 percent slopes</t>
  </si>
  <si>
    <t>Honokaa-Rock outcrop complex, 35 to 100 percent slopes</t>
  </si>
  <si>
    <t>Honokaa highly organic hydrous silty clay loam, 20 to 35 percent slopes</t>
  </si>
  <si>
    <t>Honokaa highly organic hydrous silty clay loam, 10 to 20 percent slopes</t>
  </si>
  <si>
    <t>Honokaa highly organic hydrous silty clay loam, 0 to 10 percent</t>
  </si>
  <si>
    <t>Ookala-Rock outcrop complex, 35 to 100 percent slopes</t>
  </si>
  <si>
    <t>Ookala medial silty clay loam, 20 to 35 percent slopes</t>
  </si>
  <si>
    <t>Ookala medial silty clay loam, 10 to 20 percent slopes</t>
  </si>
  <si>
    <t>Ookala medial silty clay loam, 0 to 10 percent slopes</t>
  </si>
  <si>
    <t>Puu Oo-Kau-Rock outcrop complex, 6 to 35 percent slopes</t>
  </si>
  <si>
    <t>Laumaia medial silt loam, 20 to 50 percent slopes</t>
  </si>
  <si>
    <t>Hilo-Rock outcrop complex, 35 to 100 percent slopes</t>
  </si>
  <si>
    <t>Kaiwiki-Rock outcrop complex, 35 to 100 percent slopes</t>
  </si>
  <si>
    <t>Kaiwiki hydrous silty clay loam, 20 to 35 percent</t>
  </si>
  <si>
    <t>Kaiwiki hydrous silty clay loam, 10 to 20 percent slopes</t>
  </si>
  <si>
    <t>Akaka-Kaiwiki complex, 0 to 10 percent slopes</t>
  </si>
  <si>
    <t>Akaka-Onomea complex, 0 to 10 percent slopes</t>
  </si>
  <si>
    <t>Hilo hydrous silty clay loam, 10 to 20 percent slopes</t>
  </si>
  <si>
    <t>Hilo hydrous silty clay loam, 20 to 35 percent slopes</t>
  </si>
  <si>
    <t>Hilo hydrous silty clay loam, 0 to 10 percent slopes</t>
  </si>
  <si>
    <t>Kaiwiki hydrous silty clay loam, 0 to 10 percent slopes</t>
  </si>
  <si>
    <t>Waiakea very cobbly hydrous loam, 10 to 20 percent slopes</t>
  </si>
  <si>
    <t>Kaiwiki highly organic hydrous silty clay loam, 6 to 20 percent slopes</t>
  </si>
  <si>
    <t>Kau very cobbly highly organic medial loam, 6 to 20 percent slopes</t>
  </si>
  <si>
    <t>Laumaia medial silt loam, 2 to 20 percent slopes</t>
  </si>
  <si>
    <t>Lanapohaku-Pohakulehu-Lava flows complex, 6 to 20 percent slopes</t>
  </si>
  <si>
    <t>Keamoku extremely cobbly medial loam, 10 to 20 percent slopes</t>
  </si>
  <si>
    <t>Keamoku-Laumaia complex, 6 to 20 percent slopes</t>
  </si>
  <si>
    <t>Puu Oo highly organic hydrous silty clay loam, 6 to 20 percent slopes</t>
  </si>
  <si>
    <t>Pohakulehu-Lanapohaku complex, moist, 12 to 20 percent slopes</t>
  </si>
  <si>
    <t>Alaone-Keekee complex, 2 to 6 percent slopes</t>
  </si>
  <si>
    <t>Pohakulehu-Lanapohaku complex, 12 to 20 percent slopes</t>
  </si>
  <si>
    <t>Huikau very gravelly ashy sandy loam, 30 to 50 percent slopes</t>
  </si>
  <si>
    <t>Lava flows-Lapa-Pohakulehu complex, cool, 30 to 50 percent slopes</t>
  </si>
  <si>
    <t>Pohakulehu very stony highly organic medial sandy loam, cool, 20 to 40 percent slopes</t>
  </si>
  <si>
    <t>Pohakulehu-Lava flows complex, 20 to 40 percent slopes</t>
  </si>
  <si>
    <t>Lanapohaku-Huikau-Dune land complex, 30 to 50 percent slopes</t>
  </si>
  <si>
    <t>Keekee ashy loamy sand, 0 to 6 percent slopes</t>
  </si>
  <si>
    <t>Lava flows-Lapa-Pohakulehu complex, 30 to 50 percent slopes</t>
  </si>
  <si>
    <t>Huikau ashy sandy loam, 30 to 50 percent slopes</t>
  </si>
  <si>
    <t>Lanapohaku-Lava flows complex, 6 to 40 percent slopes</t>
  </si>
  <si>
    <t>Kemole-Waimea extremely cobbly substratum complex, 12 to 20 percent slopes</t>
  </si>
  <si>
    <t>Pohakulehu cobbly ashy loamy fine sand, 12 to 20 percent slopes</t>
  </si>
  <si>
    <t>Pohakulehu cobbly ashy loamy fine sand, 6 to 12 percent slopes</t>
  </si>
  <si>
    <t>Puako, dry substratum, 3 to 6 percent slopes</t>
  </si>
  <si>
    <t>Pohakulehu-Lapa complex, 20 to 40 percent slopes</t>
  </si>
  <si>
    <t>Pohakulehu very cobbly medial very fine sandy loam, 12 to 20 percent slopes</t>
  </si>
  <si>
    <t>Kemole-Kilohana complex, 12 to 20 percent slopes</t>
  </si>
  <si>
    <t>ISOMESIC</t>
  </si>
  <si>
    <t>Pohakulehu very stony highly organic medial sandy loam, dry, 20 to 40 percent slopes</t>
  </si>
  <si>
    <t>Pohakulehu-Lanapohaku complex, dry, 12 to 20 percent slopes</t>
  </si>
  <si>
    <t>Kemole extremely stony medial very fine sandy loam, dry, 35 to 70 percent slopes</t>
  </si>
  <si>
    <t>Kemole-Waimea complex, dry, 2 to 12 percent slopes</t>
  </si>
  <si>
    <t>Pohakulehu cobbly ashy loamy fine sand, 20 to 40 percent slopes</t>
  </si>
  <si>
    <t>Lapa extremely cobbly medial fine sandy loam, 20 to 40 percent slopes</t>
  </si>
  <si>
    <t>Kilohana medial very fine sandy loam, dry, 10 to 20 percent slopes</t>
  </si>
  <si>
    <t>Kemole extremely stony medial very fine sandy loam, dry, 12 to 20 percent slopes</t>
  </si>
  <si>
    <t>Waimea medial very fine sandy loam, dry, 6 to 12 percent slopes</t>
  </si>
  <si>
    <t>Waimea medial very fine sandy loam, dry, 0 to 6 percent slopes</t>
  </si>
  <si>
    <t>Kemole-Waimea complex, 12 to 20 percent slopes</t>
  </si>
  <si>
    <t>Kilohana medial loamy sand, 20 to 40 percent slopes</t>
  </si>
  <si>
    <t>Kilohana medial very fine sandy loam, 10 to 20 percent slopes</t>
  </si>
  <si>
    <t>Kemole extremely stony medial very fine sandy loam, dry, 2 to 12 percent slopes</t>
  </si>
  <si>
    <t>Waimea-Kemole complex, 2 to 20 percent slopes</t>
  </si>
  <si>
    <t>Puu Pa complex, 2 to 20 percent slopes</t>
  </si>
  <si>
    <t>Puu Pa-Waikaloa complex, 2 to 10 percent slopes</t>
  </si>
  <si>
    <t>Ahiu-Vitric Haplustands complex, 2 to 10 percent slopes</t>
  </si>
  <si>
    <t>Makaopuhi very paragravelly highly decomposed plant material, 2 to 10 percent slopes</t>
  </si>
  <si>
    <t>Kalapana-Lava flows complex, dry, 2 to 10 percent slopes</t>
  </si>
  <si>
    <t>Kalapana medial coarse sandy loam, 2 to 10 percent slopes</t>
  </si>
  <si>
    <t>Oneula-Keamoku-Maunaiu complex, 2 to 10 percent slopes</t>
  </si>
  <si>
    <t>Oneula extremely stony medial loam, low elevation, 2 to 10 percent slopes</t>
  </si>
  <si>
    <t>Ki medial loam, 3 to 10 percent slopes</t>
  </si>
  <si>
    <t>Wahi extremely cobbly medial loam, 2 to 20 percent slopes</t>
  </si>
  <si>
    <t>Lava flows-Menehune complex, 2 to 20 percent slopes</t>
  </si>
  <si>
    <t>Oneula extremely stony loam, 2 to 10 percent slopes</t>
  </si>
  <si>
    <t>Kulalio-Maunaiu-Akelelu complex, 3 to 10 percent slopes</t>
  </si>
  <si>
    <t>Maunaiu-Akelelu complex, 3 to 10 percent slopes</t>
  </si>
  <si>
    <t>Haa-Keamoku complex, 2 to 10 percent slopes</t>
  </si>
  <si>
    <t>Pakini medial very fine sandy loam, 2 to 10 percent slopes, MLRA 157</t>
  </si>
  <si>
    <t>Ahiu-Lava flows complex, 2 to 10 percent slopes</t>
  </si>
  <si>
    <t>Vitric Haplustands, 2 to 20 percent slopes</t>
  </si>
  <si>
    <t>Nakanui-Lava flows complex, 2 to 10 percent slopes</t>
  </si>
  <si>
    <t>Manu medial silt loam, 2 to 10 percent slopes</t>
  </si>
  <si>
    <t>Puhimau ashy silt loam, 2 to 10 percent slopes</t>
  </si>
  <si>
    <t>Kanohina-Lava flows complex, 2 to 10 percent slopes</t>
  </si>
  <si>
    <t>Kahalii-Lava flows complex, 2 to 10 percent slopes</t>
  </si>
  <si>
    <t>Eheuiki-Puaulu complex, 2 to 20 percent slopes</t>
  </si>
  <si>
    <t>Puaulu-Hao complex, 2 to 20 percent slopes</t>
  </si>
  <si>
    <t>Puaulu hydrous silt loam, 2 to 20 percent slopes</t>
  </si>
  <si>
    <t>Kulalio silt loam, 2 to 10 percent slopes</t>
  </si>
  <si>
    <t>Lava flows-Kaholimo complex, 2 to 15 percent slopes</t>
  </si>
  <si>
    <t>Lava flows-Kaholimo-Puiwa complex, 2 to 15 percent slopes</t>
  </si>
  <si>
    <t>Kilauea very gravelly ashy sand, 2 to 10 percent slopes</t>
  </si>
  <si>
    <t>Heake-Lava flows complex, 2 to 10 percent slopes</t>
  </si>
  <si>
    <t>Heake ashy loam, 2 to 10 percent slopes</t>
  </si>
  <si>
    <t>Halemaumau extremely gravelly ashy coarse sand, 2 to 10 percent slopes</t>
  </si>
  <si>
    <t>Alahapa-Lava flows complex, 2 to 10 percent slopes</t>
  </si>
  <si>
    <t>Alahapa extremely stony ashy sandy loam, 2 to 10 percent slopes</t>
  </si>
  <si>
    <t>Alahapa-Heake complex, 2 to 10 percent slopes</t>
  </si>
  <si>
    <t>Lithic Haplustands-Lava flows complex, 2 to 10 percent slopes</t>
  </si>
  <si>
    <t>Lava flows-Apuki complex, 2 to 20 percent slopes</t>
  </si>
  <si>
    <t>Lava flows-Lithic Ustipsamments complex, 2 to 10 percent slopes</t>
  </si>
  <si>
    <t>Malama-Lava flows complex, 2 to 40 percent slopes</t>
  </si>
  <si>
    <t>Malama extremely cobbly highly decomposed plant material, dry, 2 to 40 percent slopes</t>
  </si>
  <si>
    <t>Olaa cobbly hydrous loam, dry, 2 to 10 percent slopes</t>
  </si>
  <si>
    <t>Panaewa very cobbly hydrous loam, dry, 2 to 10 percent slopes</t>
  </si>
  <si>
    <t>Iilewa cobbly hydrous highly organic silty clay loam, 0 to 30 percent slopes</t>
  </si>
  <si>
    <t>Opihikao highly decomposed plant material, dry, 2 to 20 percent slopes</t>
  </si>
  <si>
    <t>Hakuma highly organic hydrous loam, dry, 2 to 10 percent slopes</t>
  </si>
  <si>
    <t>Iilewa cobbly hydrous highly organic silty clay loam, 30 to 80 percent slopes</t>
  </si>
  <si>
    <t>Opihikao highly decomposed plant material, 2 to 20 percent slopes</t>
  </si>
  <si>
    <t>Hakuma highly organic hydrous loam, 2 to 10 percent slopes</t>
  </si>
  <si>
    <t>Olaa cobbly hydrous loam, 2 to 10 percent slopes</t>
  </si>
  <si>
    <t>Malama extremely cobbly highly decomposed plant material, 2 to 40 percent slopes</t>
  </si>
  <si>
    <t>Malama-Lava flows complex, dry, 2 to 40 percent slopes, MLRA 162</t>
  </si>
  <si>
    <t>Hakuma highly organic hydrous loam, 2 to 10 percent slopes, occasionally flooded</t>
  </si>
  <si>
    <t>Keaukaha highly decomposed plant material, 2 to 10 percent slopes</t>
  </si>
  <si>
    <t>Ohia hydrous silt loam, 3 to 10 percent slopes</t>
  </si>
  <si>
    <t>Keei slightly decomposed plant material, 3 to 10 percent slopes</t>
  </si>
  <si>
    <t>perudic</t>
  </si>
  <si>
    <t>Kau very cobbly highly organic hydrous silt loam, 2 to 10 percent slopes</t>
  </si>
  <si>
    <t>Opihikao-Urban land complex, 2 to 20 percent slopes</t>
  </si>
  <si>
    <t>Keaukaha-Urban land complex, 2 to 10 percent slopes</t>
  </si>
  <si>
    <t>Panaewa-Urban land complex, 2 to 10 percent slopes</t>
  </si>
  <si>
    <t>Papai-Urban land complex, 2 to 10 percent slopes</t>
  </si>
  <si>
    <t>Nanaia-Lava flows complex, 20 to 40 percent slopes</t>
  </si>
  <si>
    <t>Ohaikea highly organic medial loam, 2 to 10 percent slopes</t>
  </si>
  <si>
    <t>Kapapala medial loam, 20 to 40 percent slopes</t>
  </si>
  <si>
    <t>Kapapala medial loam, 2 to 10 percent slopes</t>
  </si>
  <si>
    <t>Nanaia-Ohaikea complex, 2 to 10 percent slopes</t>
  </si>
  <si>
    <t>Panaewa very cobbly hydrous loam, 2 to 10 percent slopes</t>
  </si>
  <si>
    <t>Papai extremely cobbly highly decomposed plant material, 2 to 10 percent slopes</t>
  </si>
  <si>
    <t>Kahaluu-lava flows-Ainahou complex, 2 to 10 percent slopes</t>
  </si>
  <si>
    <t>Lalaau-Lava flows complex, 2 to 20 percent slopes</t>
  </si>
  <si>
    <t>Hao medial loam, 3 to 10 percent slopes</t>
  </si>
  <si>
    <t>Kopua-Ihope complex, 3 to 10 percent slopes</t>
  </si>
  <si>
    <t>Keei very cobbly slightly decomposed plant material, 3 to 10 percent slopes</t>
  </si>
  <si>
    <t>Kopua-Makaala complex, 3 to 10 percent slopes</t>
  </si>
  <si>
    <t>Eheuiki-Pekailio complex, 3 to 10 percent slopes</t>
  </si>
  <si>
    <t>Kiloa-Lava flows complex, 3 to 10 percent slopes</t>
  </si>
  <si>
    <t>Kaholimo medial silt loam, 3 to 10 percent slopes</t>
  </si>
  <si>
    <t>Kahaluu highly decomposed plant material, 3 to 10 percent slopes</t>
  </si>
  <si>
    <t>Kau hydrous silt loam, 3 to 10 percent slopes</t>
  </si>
  <si>
    <t>Waiakea hydrous loam, 2 to 20 percent slopes</t>
  </si>
  <si>
    <t>Kiloa extremely cobbly highly decomposed plant material, 3 to 10 percent slopes</t>
  </si>
  <si>
    <t>Kulani hydrous highly organic loam, 3 to 10 percent slopes</t>
  </si>
  <si>
    <t>Kulani hydrous highly organic loam, 10 to 20 percent slopes</t>
  </si>
  <si>
    <t>Piihonua hydrous silty clay loam, 0 to 3 percent slopes</t>
  </si>
  <si>
    <t>Piihonua hydrous silty clay loam, 20 to 35 percent slopes</t>
  </si>
  <si>
    <t>Kau-Lalo complex, 3 to 10 percent slopes</t>
  </si>
  <si>
    <t>Kaholimo-Ki complex, 10 to 20 percent slopes</t>
  </si>
  <si>
    <t>Puaulu-Hilea-Pekailio complex, 40 to 70 percent slopes</t>
  </si>
  <si>
    <t>Kaholimo-Ki complex, 3 to 10 percent slopes</t>
  </si>
  <si>
    <t>Hydric Endoaquands, 0 to 3 percent slopes</t>
  </si>
  <si>
    <t>Pekailio stony medial loam, 3 to 10 percent slopes</t>
  </si>
  <si>
    <t>Keamoku stony medial loam, 3 to 10 percent slopes</t>
  </si>
  <si>
    <t>Kaholimo-Lava flows complex, 3 to 10 percent slopes</t>
  </si>
  <si>
    <t>Kaholimo-Lava flows complex, 20 to 40 percent slopes</t>
  </si>
  <si>
    <t>Puu Oo-Kaholimo association, 2 to 20 percent slopes</t>
  </si>
  <si>
    <t>Pahipa-Puu Oo association, 2 to 20 percent slopes</t>
  </si>
  <si>
    <t>Puali-Puu Oo-Pahipa association, 2 to 20 percent slopes</t>
  </si>
  <si>
    <t>Humic Durustands, 2 to 10 percent slopes</t>
  </si>
  <si>
    <t>Ihuanu-Lava flows, pahoehoe complex, 10 to 20 percent slopes, MLRA 160</t>
  </si>
  <si>
    <t>Kaholimo medial silt loam, 10 to 20 percent slopes</t>
  </si>
  <si>
    <t>Puu Oo medial silt loam, 10 to 20 percent slopes</t>
  </si>
  <si>
    <t>Ustifluvents-Lava flows-Naalehu complex, 3 to 10 percent slopes, occasionally flooded</t>
  </si>
  <si>
    <t>Kanohina-Ustifluvents-Lava flows complex, 3 to 10 percent slopes</t>
  </si>
  <si>
    <t>Puueo extremely cobbly medial silt loam, 10 to 20 percent slopes</t>
  </si>
  <si>
    <t>Honuapo hydrous silt loam, 10 to 20 percent slopes</t>
  </si>
  <si>
    <t>Puueo-Naalehu complex, 3 to 10 percent slopes</t>
  </si>
  <si>
    <t>Ustifluvents-Lava flows complex,, 3 to 10 percent slopes, occasionally flooded</t>
  </si>
  <si>
    <t>Alapai-Akihi complex, 20 to 35 percent slopes</t>
  </si>
  <si>
    <t>Akihi-Alapai complex, 10 to 20 percent slopes</t>
  </si>
  <si>
    <t>Akihi-Alapai complex, 3 to 10 percent slopes</t>
  </si>
  <si>
    <t>Alapai-Akihi complex, 10 to 20 percent slopes</t>
  </si>
  <si>
    <t>Akihi-Alapai complex, 40 to 70 percent slopes</t>
  </si>
  <si>
    <t>Udifluvents-Kuanene complex, 2 to 10 percent slopes</t>
  </si>
  <si>
    <t>Lava flows-Kuanene complex, 20 to 35 percent slopes</t>
  </si>
  <si>
    <t>Kapulehu-Lava flows-Lithic Ustipsamments complex, 2 to 20 percent slopes</t>
  </si>
  <si>
    <t>Kuanene medial fine sandy loam, 3 to 20 percent slopes</t>
  </si>
  <si>
    <t>Keamoku medial silt loam, 10 to 20 percent slopes</t>
  </si>
  <si>
    <t>Puiwa medial loam, 2 to 20 percent slopes</t>
  </si>
  <si>
    <t>Lava flows-Puueo complex, 2 to 20 percent slopes</t>
  </si>
  <si>
    <t>Kanohina-Lava flows complex, 20 to 35 percent slopes</t>
  </si>
  <si>
    <t>Kanohina-Lava flows complex, 10 to 20 percent slopes</t>
  </si>
  <si>
    <t>Naalehu medial silt loam, 0 to 3 percent slopes</t>
  </si>
  <si>
    <t>Puueo extremely cobbly medial silt loam, 2 to 10 percent slopes</t>
  </si>
  <si>
    <t>Lithic Haplotorrands-Lava flows complex, 2 to 10 percent slopes</t>
  </si>
  <si>
    <t>Kahaluu-Lava flows complex, 2 to 10 percent slopes</t>
  </si>
  <si>
    <t>Honuapo-Hilea complex, 20 to 35 percent slopes</t>
  </si>
  <si>
    <t>Honuapo hydrous silt loam, 3 to 10 percent slopes</t>
  </si>
  <si>
    <t>Hilea-Lava flows complex, 10 to 20 percent slopes</t>
  </si>
  <si>
    <t>Hilea-Lava flows complex, 3 to 10 percent slopes</t>
  </si>
  <si>
    <t>Honuapo-Hilea complex, 10 to 20 percent slopes</t>
  </si>
  <si>
    <t>Alapai hydrous silty clay loam, 0 to 3 percent slopes</t>
  </si>
  <si>
    <t>Alapai hydrous silty clay loam, 35 to 70 percent slopes</t>
  </si>
  <si>
    <t>Alapai hydrous silty clay loam, low ppt, 10 to 20 percent slopes</t>
  </si>
  <si>
    <t>Naalehu medial silty clay loam, 20 to 35 percent slopes</t>
  </si>
  <si>
    <t>Naalehu medial silty clay loam, 10 to 20 percent slopes</t>
  </si>
  <si>
    <t>Naalehu medial silty clay loam, 3 to 10 percent slopes</t>
  </si>
  <si>
    <t>Naalehu medial silty clay loam, 35 to 70 percent slopes</t>
  </si>
  <si>
    <t>Lalaau very cobbly highly decomposed plant material, 2 to 10 percent slopes</t>
  </si>
  <si>
    <t>Alapai hydrous silty clay loam, 20 to 35 percent slopes</t>
  </si>
  <si>
    <t>Alapai hydrous silty clay loam, 10 to 20 percent slopes</t>
  </si>
  <si>
    <t>Alapai hydrous silty clay loam, 3 to 10 percent slopes</t>
  </si>
  <si>
    <t>Pahipa-Puali association, 2 to 20 percent slopes</t>
  </si>
  <si>
    <t>Hilea hydrous silty clay loam, 3 to 10 percent slopes</t>
  </si>
  <si>
    <t>Hilea hydrous silty clay loam, 10 to 20 percent slopes</t>
  </si>
  <si>
    <t>Akihi very cobbly hydrous silt loam, 2 to 10 percent slopes, MLRA 159B</t>
  </si>
  <si>
    <t>Akihi very cobbly hydrous silt loam, 10 to 20 percent slopes, MLRA 159B</t>
  </si>
  <si>
    <t>Pakini-Kaalualu complex, 50 to 70 percent slopes</t>
  </si>
  <si>
    <t>Pakini medial very fine sandy loam, 10 to 20 percent slopes</t>
  </si>
  <si>
    <t>Kaalualu-Pakini complex, 2 to 10 percent slopes</t>
  </si>
  <si>
    <t>no description</t>
  </si>
  <si>
    <t>Kaalualu extremely cobbly medial loamy sand, 2 to 10 percent slopes</t>
  </si>
  <si>
    <t>Orchard grass, kikuyu grass, white clover, and red clover. Seeding, fertilization, and weed and brush control are limited to hand and aerial methods on the very rocky Kaipoioi soils and the very steep Laumaia soils.</t>
  </si>
  <si>
    <t>Kaalualu cobbly medial loamy sand, 10 to 20 percent slopes</t>
  </si>
  <si>
    <t xml:space="preserve">Kikuyu grass, orchard grass, and big trefoil. Intortum grows well at the lower elevations. Improvement of pasture is difficult on the extremely stony and stony soils that are mapped as complexes. Seeding, fertilization, and weed and brush control are limited to hand and aerial methods on the very steep Kokee and Paaiki soils. </t>
  </si>
  <si>
    <t>Kaalualu cobbly medial loamy sand, 2 to 10 percent slopes</t>
  </si>
  <si>
    <t xml:space="preserve">Kikuyu grass, pangola grass, intortum, and big trefoil. Improvement of pasture is diffcult on the extremly stony Hana soils. Seeding, fertilization, and weed and brush control are limited to hand and aerial methods. </t>
  </si>
  <si>
    <t>Kikoni medial silt loam, 0 to 3 percent slopes</t>
  </si>
  <si>
    <t xml:space="preserve">Kikuyu grass, pangola grass, and intortum. Improvement of pasture soils is diflicult on the very steep Kapaa soils. Seeding, fertilization, and weed and brush control are limited to hand and aerial methods. Improvemnt on the eroded Halii soils is difficult becuase of the low fertility.  </t>
  </si>
  <si>
    <t>Okoe extremely cobbly medial silt loam, 10 to 20 percent slopes</t>
  </si>
  <si>
    <t xml:space="preserve">Kikuyu grass, pangola grass, and intortum. Except on Niolii soils, improvement of pasture is difficult on the very stony Kaena soils. Seeding, fertilization, and weed and brush control are limited to hand and aerial methods. </t>
  </si>
  <si>
    <t>Okoe extremely cobbly medial silt loam, 2 to 10 percent slopes</t>
  </si>
  <si>
    <t xml:space="preserve">Kikuyu grass, pangola grass, and intortum. Improvement of pasture is difficult on extremely stony, extremely rocky, very rocky, and very steep soils. Seed­ing, fertilization, and weed and brush control are limited to hand and aerial methods. Improvement on eroded soils is difficult because of low fertility and high erodibility. </t>
  </si>
  <si>
    <t>Maile hydrous silt loam, 6 to 20 percent slopes</t>
  </si>
  <si>
    <t xml:space="preserve">Pangola ­grass, intortum, and california grass. Pangola grass and intortum are suited to the better drained soils, california­ grass to the wetter soils. Improvement of pasture is difficult on the very stony Kaena soils. Seeding, fertilization, and weed and brush control are limited to hand and aerial methods. </t>
  </si>
  <si>
    <t>Kikoni medial very fine sandy loam, 6 to 12 percent slopes</t>
  </si>
  <si>
    <t xml:space="preserve">Kikuyu grass, pangola grass, guinea grass, green panic grass, intortum, and koa haole. Seeding, fertilization, and weed and brush control are limited to hand and aerial methods on the very steep soils. Improvement of pasture on eroded soils is difficult. because of low fertility and high erodibility. </t>
  </si>
  <si>
    <t>Kikoni medial very fine sandy loam, 0 to 6 percent slopes</t>
  </si>
  <si>
    <t xml:space="preserve">Kikuyugrass, pangolagrass, intortum, guineagrass, and green panic­grass. Koa haole grows well at elevations of less than 1,100'. Improvement of pasture is difficult on extremely stony, extremely rocky, very rocky, and very steep soils. Seed­ing, fertilization, and weed and brush control are limited to hand and aerial methods. Improvement on eroded soils is difficult because of low fertility and high erodibility. </t>
  </si>
  <si>
    <t>Kemole extremely stony medial very fine sandy loam, 6 to 12 percent slopes</t>
  </si>
  <si>
    <t>Guinea grass, green panic grass, kikuyu grass, and gly­cine</t>
  </si>
  <si>
    <t>Kemole extremely stony medial very fine sandy loam, 12 to 20 percent slopes</t>
  </si>
  <si>
    <t>Buffel grass, guinea grass, green panic grass, and koa haole.</t>
  </si>
  <si>
    <t>Halekula very cobbly medial silt loam, 20 to 50 percent slopes</t>
  </si>
  <si>
    <t xml:space="preserve">Buffel grass, white pili grass, giant bermuda grass, guinea grass, and koa haole. Improvement of pasture is difficult on extremely stony and extremely rocky soils and on soils steeper than 40 percent. Seeding, fertilization, and weed and brush con­trol are limited to hand and aerial methods. Improvement is difficult on eroded soils because of strong winds and low rainfall. It is difficult on Lualualei soils because these soils are very sticky and very plastic and have poor work­ability. </t>
  </si>
  <si>
    <t>Halekula very cobbly medial silt loam, 10 to 20 percent slopes</t>
  </si>
  <si>
    <t xml:space="preserve">Buffel grass, white pili grass, and giant bermuda grass. Buffel grass is especially suited as it spreads rapidly and provides ground cover for eroded areas. Guinea grass and koa haole are suitable in areas where rainfall is more plentiful and in areas along the coast where ground water is near the surface. Australian saltbush is the only improved species suitable for the saline Kealia soils. Improvement of pastures is difficult in stony areas. Seeding, fertilization, and weed and brush control are limited to hand and aerial methods. Improvement of pasture on eroded soils is difficult because of strong winds and low rainfall.   </t>
  </si>
  <si>
    <t>Kukaiau-Rock outcrop complex, 35 to 70 percent slopes</t>
  </si>
  <si>
    <t>5 island Pasture Group Descriptions</t>
  </si>
  <si>
    <t>Huikau ashy loamy sand, 10 to 20 percent slopes</t>
  </si>
  <si>
    <t>Huikau ashy loamy sand, 2 to 10 percent slopes</t>
  </si>
  <si>
    <t>Kukaiau medial silty clay loam, 20 to 35 percent slopes</t>
  </si>
  <si>
    <t>High, cold, dry, ash soils.  Plant community typcically consists of Heu pueo, moutain pili, aweoweo, hardstem lovegrass, aallii, pukiawe, kikuyu, rattail, ripgut grass.</t>
  </si>
  <si>
    <t>Kukaiau medial silty clay loam, 10 to 20 percent slopes</t>
  </si>
  <si>
    <t>High, dry, shallow. Plant community typically consists of Orchard grass, meadow rice grass in shady areas, kikuyu grass, white clover. Bluestems, bur clover and trefoils may occur.</t>
  </si>
  <si>
    <t>Kukaiau medial silty clay loam, 0 to 10 percent slopes</t>
  </si>
  <si>
    <t>High, swampy, cold.  Plant community typically consists of kikuyu grass, white clover, orchard grass, rye grass, birds foot or big trefoil, vetch.  Dallis grass may occur.</t>
  </si>
  <si>
    <t>Paauhau- Rock outcrop complex, 35 to 70 percent slopes</t>
  </si>
  <si>
    <t>Shallow, cindery, high, wet. Plant community typically consists of Kikuyu grass, dallis grass, sweet vernal grass.  Bent grass and trefoils and clovers may occur.</t>
  </si>
  <si>
    <t>Ohianui extremely gravelly ashy loamy sand, 10 to 20 percent slopes</t>
  </si>
  <si>
    <t>High, dry cool bunch/sod mix.  Plant community typically consists of Kikuyu grass, white clover, orchard grass, sweet vernal grass, velvet grass, trefoils, vetch; red clover may occur.</t>
  </si>
  <si>
    <t>Ohianui extremely gravelly ashy loamy sand, 2 to 10 percent slopes</t>
  </si>
  <si>
    <r>
      <t>High, cool sod. Plant community typically consists of Kikuyu, white clover.  B</t>
    </r>
    <r>
      <rPr>
        <b/>
        <sz val="11"/>
        <color theme="1"/>
        <rFont val="Calibri"/>
        <family val="2"/>
        <scheme val="minor"/>
      </rPr>
      <t>ahia grass, limpo grass</t>
    </r>
    <r>
      <rPr>
        <sz val="11"/>
        <color theme="1"/>
        <rFont val="Calibri"/>
        <family val="2"/>
        <scheme val="minor"/>
      </rPr>
      <t xml:space="preserve">, Trefoils, Desmodium, dallis grass, and vetch may occur. </t>
    </r>
  </si>
  <si>
    <t>Paauhau medial silty clay loam, 20 to 35 percent slopes</t>
  </si>
  <si>
    <t>High, wet, cool sod.  Plant community typically consists of Baron goto, california, pangola grass, Kikuyugrass, green leaf desmodium, white clover.  Trefoils may occur.</t>
  </si>
  <si>
    <t>Maile hydrous silt loam, 0 to 6 percent slopes</t>
  </si>
  <si>
    <t>Low-mid elevation, wet, deep soil tall sod.  Plant community typically consists of California grass or guinea grass or paspalum or signal grass or baron goto grass or mix. Degraded pastures have increasing amounts of hilo grass, wainaku grass, broomsedge, sleeping grass and undesirable brush.</t>
  </si>
  <si>
    <t>Nenenui-Lava flows complex, 10 to 20 percent slopes</t>
  </si>
  <si>
    <t>High OM, Shallow soil, High rainfall tall sod. Plant community typically consists of california grass, baron goto grass, green leaf desmodium, may be under albizia.  Guinea grass, kaimi clover, stylo may occur.</t>
  </si>
  <si>
    <t>Nenenui-Lava flows complex, 2 to 10 percent slopes</t>
  </si>
  <si>
    <t xml:space="preserve">Pangola/Kikuyu. Plant community typically consists of Kikuyu grass, pangola grass, white clover, and green leaf desmodium and/or kaimi clover.  Big trefoil, california grass, baron goto grass may occur.  </t>
  </si>
  <si>
    <t>Paauhau medial silty clay loam, 0 to 10 percent slopes</t>
  </si>
  <si>
    <t>Kona, Wet Guinea. Guinea grass, kaimi clover and haole koa, often under scattered monkeypod.</t>
  </si>
  <si>
    <t>Kemole stony medial silt loam, 6 to 12 percent slopes</t>
  </si>
  <si>
    <t>Kona, Dry Guinea. Plant community typically consists of Guinea grass, and haole koa.  Tinaroo may also occur.</t>
  </si>
  <si>
    <t>Hapuu extremely gravelly medial silt loam, 10 to 20 percent slopes</t>
  </si>
  <si>
    <t>Med Guinea. Plant community typically consists of Guinea grass, small leaf desmodium, kaimi clover. Haole koa, stylo, siratro, wild phasey bean may occur.  Transitions to Kikuyu at upper elevations.</t>
  </si>
  <si>
    <t>Hapuu extremely gravelly medial silt loam, 2 to 10 percent slopes</t>
  </si>
  <si>
    <t>Dry Kikuyu Range Type. Plant community typically consists of: Kikuyu grass, tinaroo, white clover, black medic and bur clover. Yellow or white sweet clover, natal red top, buffel grass, fountain grass, pitted beard grass, caucasian blue stem and pili grass may also occur.</t>
  </si>
  <si>
    <t>Hapuu very gravelly medial silt loam, 10 to 20 percent slopes</t>
  </si>
  <si>
    <t xml:space="preserve">Green Panic Range Type. Plant community typically consists of Guinea grass, haole koa, and Kaimi clover common.  Tinaroo, siratro or stylo may occur. Kikuyu grass at upper range. </t>
  </si>
  <si>
    <t>Hapuu very gravelly medial silt loam, 2 to 10 percent slopes</t>
  </si>
  <si>
    <t xml:space="preserve">Fountain Grass Range type. Plant community typically consists of: Buffel grass or star grass dominates alluvial flat areas, fountain grass occupies the rocky soils, Caucasian bluestem, green panic, joy grass may occur but usually not widespread.  Black medic, bur clover, siratro and haole koa may be present. </t>
  </si>
  <si>
    <t>Kemole stony medial silt loam, 12 to 20 percent slopes</t>
  </si>
  <si>
    <t xml:space="preserve">Buffel Grass Range Type, common to coastal leeward areas in the drier parts of the Big Island.  Naturalized plant community typically consists of: Buffel grass, pili grass with occasional haole koa where moisture allows. Kiawe is thick along coast, in riparian areas or wherever groundwater is available. During summer kiawe pods may be an important source of forage. </t>
  </si>
  <si>
    <t>Kealoha very gravelly medial silt loam, 20 to 50 percent slopes</t>
  </si>
  <si>
    <t>Big Island Pasture Group Descriptions</t>
  </si>
  <si>
    <t>Hookena very cobbly medial silt loam, 10 to 20 percent slopes</t>
  </si>
  <si>
    <t>Typic Ustipsamments, 0 to 15 percent slopes</t>
  </si>
  <si>
    <t>Kealoha very gravelly medial silt loam, 10 to 20 percent slopes</t>
  </si>
  <si>
    <t>Kealoha very gravelly medial silt loam, 2 to 10 percent slopes</t>
  </si>
  <si>
    <t>Puukala-Kealoha complex, 10 to 20 percent slopes</t>
  </si>
  <si>
    <t>Puukala-Kealoha complex, 2 to 10 percent slopes</t>
  </si>
  <si>
    <t>5. Growth curves for Range Types adjusted to equal 100%   RT1: 0.30--&gt;0.26     RT10,11: 0.05--&gt;0.03</t>
  </si>
  <si>
    <t>Puukala medial silt loam, 10 to 20 percent slopes</t>
  </si>
  <si>
    <t>4. Lower rainfal threshhold of Range Type 8 (&gt;=75) was lowered to upper rainfall threshhold of Range Type 7 (&gt;=65)</t>
  </si>
  <si>
    <t>Puukala medial silt loam, 2 to 10 percent slopes</t>
  </si>
  <si>
    <t>3. No Pasture Group specified for Leeward Semiarid Midgrass Steppe</t>
  </si>
  <si>
    <t>Puukala-Kekake-Lava flows complex, 10 to 20 percent slopes</t>
  </si>
  <si>
    <t>2. Un-assigned Pasture Groups: 4,6,8,10,11,12,13,14</t>
  </si>
  <si>
    <t>Puukala-Kekake-Lava flows complex, 2 to 10 percent slopes</t>
  </si>
  <si>
    <t>1. According to J. May, Range Types "closely ressemble" assigned Pasture Groups</t>
  </si>
  <si>
    <t>Niulii-Rock outcrop complex, 70 to 100 percent slopes</t>
  </si>
  <si>
    <t>NOTES:</t>
  </si>
  <si>
    <t>Pololu extremely stony very fine sandy loam, 3 to 12 percent slopes</t>
  </si>
  <si>
    <t>Ainakea-Rock outcrop complex, 70 to 100 percent slopes</t>
  </si>
  <si>
    <t>Niulii medial silty clay loam, 20 to 35 percent slopes</t>
  </si>
  <si>
    <t>Niulii medial silty clay loam, 12 to 20 percent slopes</t>
  </si>
  <si>
    <t>Niulii medial silty clay loam, 6 to 12 percent slopes</t>
  </si>
  <si>
    <t>Ainakea medial silty clay loam, 20 to 35 percent slopes</t>
  </si>
  <si>
    <t>Ainakea medial silty clay loam, 12 to 20 percent slopes</t>
  </si>
  <si>
    <t>Ainakea medial silty clay loam, 3 to 12 percent slopes</t>
  </si>
  <si>
    <t>Production Yield</t>
  </si>
  <si>
    <t>Kohala silty clay, 35 to 70 percent slopes</t>
  </si>
  <si>
    <t>Kohala silty clay, 20 to 35 percent slopes</t>
  </si>
  <si>
    <t>Kohala silty clay, 12 to 20 percent slopes</t>
  </si>
  <si>
    <t>Kohala silty clay, 0 to 3 percent slopes</t>
  </si>
  <si>
    <t>Kehena medial silty clay loam, 6 to 12 percent slopes</t>
  </si>
  <si>
    <t>Ainakea-Rock outcrop complex, 35 to 70 percent slopes</t>
  </si>
  <si>
    <t>Niulii-Rock outcrop complex, 35 to 70 percent slopes</t>
  </si>
  <si>
    <t>Hanalei complex, 0 to 2 percent slopes</t>
  </si>
  <si>
    <t>Typic Endoaquepts, 0 to 1 percent slopes</t>
  </si>
  <si>
    <t>Kehena-Niulii-Rock outcrop complex, 70 to 100 percent slopes</t>
  </si>
  <si>
    <t>Kehena-Kahua complex, 3 to 20 percent slopes</t>
  </si>
  <si>
    <t>Amalu-Kehena complex, 20 to 50 percent slopes</t>
  </si>
  <si>
    <t>Amalu-Kahua-Kehena complex, 3 to 20 percent slopes</t>
  </si>
  <si>
    <t>Kahua mucky medial silt loam, 20 to 50 percent slopes</t>
  </si>
  <si>
    <t>Kahua-Kehena complex, 6 to 20 percent slopes</t>
  </si>
  <si>
    <t>Palapalai hydrous silty clay loam, 6 to 12 percent slopes</t>
  </si>
  <si>
    <t>Palapalai hydrous silt loam, 20 to 50 percent slopes</t>
  </si>
  <si>
    <t>Range Type Growth Curve</t>
  </si>
  <si>
    <t>Palapalai hydrous silt loam, 12 to 20 percent slopes</t>
  </si>
  <si>
    <t>Palapalai hydrous silt loam, 6 to 12 percent slopes</t>
  </si>
  <si>
    <t>7,10</t>
  </si>
  <si>
    <t>8,11,12,13</t>
  </si>
  <si>
    <t>NEW Pasture Group</t>
  </si>
  <si>
    <t>1,2</t>
  </si>
  <si>
    <t>Waimea medial silt loam, 20 to 50 percent slopes</t>
  </si>
  <si>
    <t>Waimea medial silt loam, 12 to 20 percent slopes</t>
  </si>
  <si>
    <t>Average Annual Yield (lbs/acre)</t>
  </si>
  <si>
    <t>Waimea medial silt loam, 6 to 12 percent slopes</t>
  </si>
  <si>
    <t>Maximum Annual Rainfall</t>
  </si>
  <si>
    <t>Kohala silty clay, 3 to 12 percent slopes</t>
  </si>
  <si>
    <t>Minimum Annual Rainfall</t>
  </si>
  <si>
    <t>Hawi silty clay, 3 to 12 percent slopes</t>
  </si>
  <si>
    <t>USTIC</t>
  </si>
  <si>
    <t>Hawi silty clay, 0 to 3 percent slopes</t>
  </si>
  <si>
    <t>Hawi very stony silty clay, 6 to 12 percent slopes</t>
  </si>
  <si>
    <t>Mahukona very stony silty clay loam, 6 to 12 percent slopes</t>
  </si>
  <si>
    <t>Humid Lowland</t>
  </si>
  <si>
    <t>Mahukona silty clay loam, 3 to 12 percent slopes</t>
  </si>
  <si>
    <t>Nawahine gravelly medial silt loam, 20 to 50 percent slopes</t>
  </si>
  <si>
    <t>Humid Very Tall Grass</t>
  </si>
  <si>
    <t>Iwalani medial loam, 3 to 10 percent slopes</t>
  </si>
  <si>
    <t>Humid Tallgrass</t>
  </si>
  <si>
    <t>Iwalani-Lava flows complex, 10 to 20 percent slopes</t>
  </si>
  <si>
    <t>Subhumid Tallgrass - B</t>
  </si>
  <si>
    <t>Iwalani-Lava flows complex, 2 to 10 percent slopes</t>
  </si>
  <si>
    <t>Subhumid Tallgrass - A</t>
  </si>
  <si>
    <t>Lava flows-Iwalani complex, 10 to 20 percent slopes</t>
  </si>
  <si>
    <t>Temperate Subhumid - C</t>
  </si>
  <si>
    <t>Iwalani medial loam, 10 to 20 percent slopes</t>
  </si>
  <si>
    <t>Temperate Subhumid - B</t>
  </si>
  <si>
    <t>Ihuanu very cobbly medial silt loam, 2 to 10 percent slopes, MLRA 160</t>
  </si>
  <si>
    <t>Temperate Subhumid - A</t>
  </si>
  <si>
    <t>Ihuanu very cobbly medial silt loam, 10 to 20 percent slopes, MLRA 160</t>
  </si>
  <si>
    <t>400-750</t>
  </si>
  <si>
    <t>Ihuanu-Lava flows, `a`a complex, 10 to 20 percent slopes, MLRA 160</t>
  </si>
  <si>
    <t>Manahaa hydrous silt loam, 20 to 50 percent slopes</t>
  </si>
  <si>
    <t>above</t>
  </si>
  <si>
    <t>average</t>
  </si>
  <si>
    <t>below</t>
  </si>
  <si>
    <t>Hokukano-Manahaa complex, 10 to 20 percent slopes</t>
  </si>
  <si>
    <t>Hokukano-Manahaa complex, 2 to 10 percent slopes</t>
  </si>
  <si>
    <t>Hokukano medial silt loam, 10 to 20 percent slopes</t>
  </si>
  <si>
    <t>Joe May - Former State Rangeland Management Specialist - Hawaii</t>
  </si>
  <si>
    <t>Hokukano medial silt loam, 2 to 10 percent slopes</t>
  </si>
  <si>
    <t>Hokukano-Lava flows complex, 10 to 20 percent slopes</t>
  </si>
  <si>
    <t>Hokukano-Lava flows complex, 2 to 10 percent slopes</t>
  </si>
  <si>
    <t>Manahaa hydrous silt loam, 10 to 20 percent slopes</t>
  </si>
  <si>
    <t>Manahaa hydrous silt loam, 2 to 10 percent slopes</t>
  </si>
  <si>
    <t>Hua-Honaunau complex, 20 to 40 percent slopes</t>
  </si>
  <si>
    <t>Hua-Honaunau complex, 10 to 20 percent slopes</t>
  </si>
  <si>
    <t>2. Pasture Group growth curves estimation based on forage production estimates taken from SCS Soil Survey</t>
  </si>
  <si>
    <t>Hua-Honaunau complex, 2 to 10 percent slopes</t>
  </si>
  <si>
    <t>1. Annual yields (air-dry basis) are based on Pasture Groups in AY104:BD136</t>
  </si>
  <si>
    <t>Hua hydrous silt loam, 10 to 20 percent slopes</t>
  </si>
  <si>
    <t>Hua hydrous silt loam, 2 to 10 percent slopes</t>
  </si>
  <si>
    <t>Waimea medial very fine sandy loam, 20 to 50 percent slopes</t>
  </si>
  <si>
    <t>Waimea medial very fine sandy loam, 0 to 6 percent slopes</t>
  </si>
  <si>
    <t>Waimea medial very fine sandy loam, 12 to 20 percent slopes</t>
  </si>
  <si>
    <t>Waimea medial very fine sandy loam, 6 to 12 percent slopes</t>
  </si>
  <si>
    <t>Selections for Expected Rain or Pasture Conditions</t>
  </si>
  <si>
    <t>Kamakoa very fine sandy loam, 2 to 10 percent slopes</t>
  </si>
  <si>
    <t>Rock outcrop-Kamakoa complex, 6 to 20 percent slopes</t>
  </si>
  <si>
    <t>Kawaihae very cobbly silt loam, 6 to 20 percent slopes</t>
  </si>
  <si>
    <t>Sodic Haplocambids</t>
  </si>
  <si>
    <t>Kawaihae very cobbly very fine sandy loam, 12 to 20 percent slopes</t>
  </si>
  <si>
    <t>Kawaihae very cobbly very fine sandy loam, 6 to 12 percent slopes</t>
  </si>
  <si>
    <t>Rock outcrop-Waikui-Hapuna complex, 2 to 70 percent slopes</t>
  </si>
  <si>
    <t>Hapuna-Waikui-Lalamilo complex, 0 to 20 percent slopes</t>
  </si>
  <si>
    <t>Waikui-Hapuna complex, 10 to 20 percent slopes</t>
  </si>
  <si>
    <t>Waikui-Hapuna complex, 2 to 10 percent slopes</t>
  </si>
  <si>
    <t>Akahipuu very cobbly medial silt loam, 10 to 20 percent slopes</t>
  </si>
  <si>
    <t>Akahipuu very cobbly medial silt loam, 2 to 10 percent slopes</t>
  </si>
  <si>
    <t>Lava flows-Nanuku complex, 2 to 20 percent slopes</t>
  </si>
  <si>
    <t>Nanuku extremely cobbly silt loam, 10 to 20 percent slopes</t>
  </si>
  <si>
    <t>Nanuku extremely cobbly silt loam, 2 to 10 percent slopes</t>
  </si>
  <si>
    <t>Waikaloa medial very fine sandy loam, 20 to 50 percent slopes</t>
  </si>
  <si>
    <t>Waikaloa medial very fine sandy loam, 10 to 20 percent slopes</t>
  </si>
  <si>
    <t>Waikaloa medial very fine sandy loam, 2 to 10 percent slopes</t>
  </si>
  <si>
    <t>Waawaa medial silt loam, 40 to 70 percent slopes</t>
  </si>
  <si>
    <t>Waawaa medial silt loam, 10 to 20 percent slopes</t>
  </si>
  <si>
    <t>Waawaa medial silt loam, 2 to 10 percent slopes</t>
  </si>
  <si>
    <t>Waikaloa-Puu Pa complex, 2 to 10 percent slopes</t>
  </si>
  <si>
    <t>Revised production of PG8</t>
  </si>
  <si>
    <t>Puako fine sandy loam, 0 to 6 percent slopes</t>
  </si>
  <si>
    <t>mod pg 5</t>
  </si>
  <si>
    <t>Waikaloa-Puu Pa complex, 10 to 20 percent slopes</t>
  </si>
  <si>
    <t>Revised by Carolyn Auweloa</t>
  </si>
  <si>
    <t>Puu Pa very cobbly medial very fine sandy loam, 12 to 20 percent slopes</t>
  </si>
  <si>
    <t>Production Estimates</t>
  </si>
  <si>
    <t>Puu Pa very cobbly medial very fine sandy loam, 6 to 12 percent slopes</t>
  </si>
  <si>
    <t>Lava flows-Kahaumanu complex, 2 to 20 percent slopes</t>
  </si>
  <si>
    <t>Estimated Growth Curves: Hawaii Island</t>
  </si>
  <si>
    <t>Kahaumanu-Lava flows complex, 10 to 20 percent slopes</t>
  </si>
  <si>
    <t>Kahaumanu-Lava flows complex, 2 to 10 percent slopes</t>
  </si>
  <si>
    <t>Kiholo-Lava flows complex, 2 to 10 percent slopes</t>
  </si>
  <si>
    <t>Lava flows-Kiholo complex, 2 to 20 percent slopes</t>
  </si>
  <si>
    <t>Lava flows-Auwaiakeakua complex, 2 to 20 percent slopes</t>
  </si>
  <si>
    <t>Auwaiakeakua extremely cobbly silt loam, 10 to 20 percent slopes</t>
  </si>
  <si>
    <t>Haplocambids</t>
  </si>
  <si>
    <t>Auwaiakeakua extremely cobbly silt loam, 2 to 10 percent slopes</t>
  </si>
  <si>
    <t>Kiolakaa medial loam, 2 to 10 percent slopes</t>
  </si>
  <si>
    <t>Kamaoa cobbly medial loam, 50 to 70 percent slopes</t>
  </si>
  <si>
    <t>Kamaoa medial loam, 2 to 10 percent slopes</t>
  </si>
  <si>
    <t>Summer</t>
  </si>
  <si>
    <t>Dry</t>
  </si>
  <si>
    <t>Keaa-Kiolakaa complex, 2 to 10 percent slopes</t>
  </si>
  <si>
    <t>Winter</t>
  </si>
  <si>
    <t>Rainy</t>
  </si>
  <si>
    <t>Keaa cobbly medial loam, 10 to 20 percent slopes</t>
  </si>
  <si>
    <t>OCT, NOV, DEC</t>
  </si>
  <si>
    <t>Fall</t>
  </si>
  <si>
    <t>Keaa cobbly medial loam, 2 to 10 percent slopes</t>
  </si>
  <si>
    <t>JUL, AUG, SEP</t>
  </si>
  <si>
    <t>Lava flows-Nanaia complex, 2 to 20 percent slopes</t>
  </si>
  <si>
    <t>APR, MAY, JUN</t>
  </si>
  <si>
    <t>Spring</t>
  </si>
  <si>
    <t>Nanaia-Lava flows complex, 2 to 10 percent slopes</t>
  </si>
  <si>
    <t>JAN, FEB, MAR</t>
  </si>
  <si>
    <t>Kapulehu very cobbly medial silt loam, 10 to 20 percent slopes</t>
  </si>
  <si>
    <t>Assumptions</t>
  </si>
  <si>
    <t>Kapulehu very cobbly medial silt loam, 2 to 10 percent slopes</t>
  </si>
  <si>
    <t>Maui, Molokai, Oahu, Kauai Island</t>
  </si>
  <si>
    <t>Kapulehu-Lava flows complex, 2 to 10 percent slopes</t>
  </si>
  <si>
    <t xml:space="preserve"> Estimated Growth Curves: Maui, Molokai, Oahu, Kauai Island</t>
  </si>
  <si>
    <t>Kanohina ashy very fine sandy loam, 2 to 10 percent slopes</t>
  </si>
  <si>
    <t>Lava flows-Kanohina complex, 2 to 20 percent slopes</t>
  </si>
  <si>
    <t>NEED TO ADJUST THESE</t>
  </si>
  <si>
    <t>Kealakekua cobbly hydrous silty clay loam, 20 to 40 percent slopes</t>
  </si>
  <si>
    <t>Kealakekua cobbly hydrous silty clay loam, 10 to 20 percent slopes</t>
  </si>
  <si>
    <t>Kealakekua cobbly hydrous silty clay loam, 2 to 10 percent slopes</t>
  </si>
  <si>
    <t>Kealakekua hydrous silty clay loam, 10 to 20 percent slopes</t>
  </si>
  <si>
    <t>Kealakekua hydrous silty clay loam, 2 to 10 percent slopes</t>
  </si>
  <si>
    <t>Napoopoo-Honuaulu complex, 20 to 40 percent slopes</t>
  </si>
  <si>
    <t>Napoopoo-Honuaulu complex, 10 to 20 percent slopes</t>
  </si>
  <si>
    <t>Napoopoo cobbly hydrous silt loam, 20 to 40 percent slopes</t>
  </si>
  <si>
    <t>Napoopoo-Lava flows complex, 10 to 20 percent slopes</t>
  </si>
  <si>
    <t>Napoopoo cobbly hydrous silt loam, 10 to 20 percent slopes</t>
  </si>
  <si>
    <t>Napoopoo cobbly hydrous silt loam, 2 to 10 percent slopes</t>
  </si>
  <si>
    <t>Napoopoo hydrous silt loam, 10 to 20 percent slopes</t>
  </si>
  <si>
    <t>Waiaha-Punaluu-Lava flows complex, 10 to 20 percent slopes</t>
  </si>
  <si>
    <t>Waiaha-Punaluu-Lava flows complex, 2 to 10 percent slopes</t>
  </si>
  <si>
    <t>1. Monthly forage yields (air-dry) are converted to dry-weight basis assuming 10% moisture in air-dry weight</t>
  </si>
  <si>
    <t>Waiaha-Lava flows complex, 40 to 99 percent slopes</t>
  </si>
  <si>
    <t>Waiaha cobbly medial silt loam, 10 to 20 percent slopes</t>
  </si>
  <si>
    <t>Waiaha cobbly medial silt loam, 2 to 10 percent slopes</t>
  </si>
  <si>
    <t>Waiaha medial silt loam, 10 to 20 percent slopes</t>
  </si>
  <si>
    <t>Waiaha medial silt loam, 2 to 10 percent slopes</t>
  </si>
  <si>
    <t>Honuaulu-Kealakekua complex, 2 to 10 percent slopes</t>
  </si>
  <si>
    <t>Honuaulu-Kealakekua complex, 10 to 20 percent slopes</t>
  </si>
  <si>
    <t>Honuaulu cobbly hydrous silt loam, 20 to 40 percent slopes</t>
  </si>
  <si>
    <t>Honuaulu cobbly hydrous silt loam, 10 to 20 percent slopes</t>
  </si>
  <si>
    <t>Honuaulu cobbly hydrous silt loam, 2 to 10 percent slopes</t>
  </si>
  <si>
    <t>Honuaulu hydrous silt loam, 10 to 20 percent slopes</t>
  </si>
  <si>
    <t>Kainaliu-Waiaha complex, 10 to 20 percent slopes</t>
  </si>
  <si>
    <t>Kainaliu cobbly silty clay loam, 20 to 40 percent slopes</t>
  </si>
  <si>
    <t>Kainaliu-Lava flows complex, 10 to 20 percent slopes</t>
  </si>
  <si>
    <t>Kainaliu-Lava flows complex, 2 to 10 percent slopes</t>
  </si>
  <si>
    <t>Kainaliu cobbly silty clay loam, 10 to 20 percent slopes</t>
  </si>
  <si>
    <t>Kainaliu silty clay loam, 10 to 20 percent slopes</t>
  </si>
  <si>
    <t>Kiolakaa-Keaa complex, moist, 10 to 20 percent slopes</t>
  </si>
  <si>
    <t>Kiolakaa medial loam, moist, 2 to 10 percent slopes</t>
  </si>
  <si>
    <t>Kapulehu-Keaa complex, moist, 20 to 40 percent slopes</t>
  </si>
  <si>
    <t>Keaa cobbly medial loam, moist, 10 to 20 percent slopes</t>
  </si>
  <si>
    <t>Keaa cobbly medial loam, moist, 2 to 10 percent slopes</t>
  </si>
  <si>
    <t>URRU</t>
  </si>
  <si>
    <t>URDE</t>
  </si>
  <si>
    <t>URBR</t>
  </si>
  <si>
    <t>URMU</t>
  </si>
  <si>
    <t>URMA3</t>
  </si>
  <si>
    <t>URMA2</t>
  </si>
  <si>
    <t>URMA</t>
  </si>
  <si>
    <t>PECL</t>
  </si>
  <si>
    <t>PANO</t>
  </si>
  <si>
    <t>PADI</t>
  </si>
  <si>
    <t>LOPE</t>
  </si>
  <si>
    <t>ISPO</t>
  </si>
  <si>
    <t>HEAL</t>
  </si>
  <si>
    <t>DIER</t>
  </si>
  <si>
    <t>DAGL</t>
  </si>
  <si>
    <t>CYPL</t>
  </si>
  <si>
    <t>CYNL</t>
  </si>
  <si>
    <t>CYDA</t>
  </si>
  <si>
    <t>CHGA</t>
  </si>
  <si>
    <t>CEPU</t>
  </si>
  <si>
    <t>CECI</t>
  </si>
  <si>
    <t>Lava flows-Nanaia complex, moist, 2 to 20 percent slopes</t>
  </si>
  <si>
    <t>Nanaia-Lava flows complex, moist, 2 to 10 percent slopes</t>
  </si>
  <si>
    <t>Kapulehu very cobbly medial silt loam, moist, 10 to 20 percent slopes</t>
  </si>
  <si>
    <t>Kapulehu very cobbly medial silt loam, moist, 2 to 10 percent slopes</t>
  </si>
  <si>
    <t>Ihuanu very cobbly medial silt loam, moist, 2 to 10 percent slopes</t>
  </si>
  <si>
    <t>Ihuanu very cobbly medial silt loam, moist, 10 to 20 percent slopes</t>
  </si>
  <si>
    <t>Honaunau cobbly hydrous silt loam, 10 to 20 percent slopes</t>
  </si>
  <si>
    <t>Honaunau hydrous silt loam, 10 to 20 percent slopes</t>
  </si>
  <si>
    <t>Honaunau hydrous silt loam, 2 to 10 percent slopes</t>
  </si>
  <si>
    <t>Lava flows-Halekula complex, moist, 2 to 20 percent slope</t>
  </si>
  <si>
    <t>Iwalani-Lava flows complex, moist, 10 to 20 percent slopes</t>
  </si>
  <si>
    <t>Kamawai extremely cobbly highly organic medial silt loam, 20 to 50 percent slopes</t>
  </si>
  <si>
    <t>Lava flows-Kamawai complex, 2 to 20 percent slopes</t>
  </si>
  <si>
    <t>Kamawai extremely cobbly medial highly decomposed plant material, 10 to 20 percent slopes</t>
  </si>
  <si>
    <t>Kamawai extremely cobbly medial highly decomposed plant material, 2 to 10 percent slopes</t>
  </si>
  <si>
    <t>Kamawai-Puuiki complex, 10 to 20 percent slopes</t>
  </si>
  <si>
    <t>Kamawai-Puuiki complex, 2 to 10 percent slopes</t>
  </si>
  <si>
    <t>Rain (IN)</t>
  </si>
  <si>
    <t>Puuiki-Kamawai complex, 2 to 10 percent slopes</t>
  </si>
  <si>
    <t>Effective Rainfall Calculation</t>
  </si>
  <si>
    <t>Iwalani-Lava flows complex, moist, 2 to 10 percent slopes</t>
  </si>
  <si>
    <t>Lava flows-Puuiki complex, 2 to 20 percent slopes</t>
  </si>
  <si>
    <t>Puuiki-Lava flows complex, 10 to 20 percent slopes</t>
  </si>
  <si>
    <t>Puuiki-Lava flows complex, 2 to 10 percent slopes</t>
  </si>
  <si>
    <t>Lava flows-Kekake complex, 2 to 20 percent slopes</t>
  </si>
  <si>
    <t>Lava flows-Kekake complex, 10 to 20 percent slopes</t>
  </si>
  <si>
    <t>Lava flows-Kekake complex, 2 to 10 percent slopes</t>
  </si>
  <si>
    <t>Kekake-Mawae complex, 10 to 20 percent slopes</t>
  </si>
  <si>
    <t>Kekake-Mawae complex, 2 to 10 percent slopes</t>
  </si>
  <si>
    <t>Napuu extremely cobbly medial highly decomposed plant material, 40 to 70 percent slopes</t>
  </si>
  <si>
    <t>Lava flows-Napuu complex, 2 to 20 percent slopes</t>
  </si>
  <si>
    <t>Napuu extremely cobbly medial highly decomposed plant material, 10 to 20 percent slopes</t>
  </si>
  <si>
    <t>on</t>
  </si>
  <si>
    <t>off</t>
  </si>
  <si>
    <t>Species C</t>
  </si>
  <si>
    <t>Napuu extremely cobbly medial highly decomposed plant material, 2 to 10 percent slopes</t>
  </si>
  <si>
    <t>Species B</t>
  </si>
  <si>
    <t>Kamawai extremely cobbly medial highly decomposed plant material, moist, 2 to 10 percent slopes</t>
  </si>
  <si>
    <t>Species A</t>
  </si>
  <si>
    <t>Puuiki-Lava flows complex, moist, 2 to 10 percent slopes</t>
  </si>
  <si>
    <t>Urochloa ruziziensis</t>
  </si>
  <si>
    <t>MULATTO II</t>
  </si>
  <si>
    <t>Kamawai extremely cobbly medial highly decomposed plant material, moist, 10 to 20 percent slopes</t>
  </si>
  <si>
    <t>Monthly Max Yield, dry lbs/acre</t>
  </si>
  <si>
    <t>Urochloa decumbens</t>
  </si>
  <si>
    <t>Signal grass</t>
  </si>
  <si>
    <t>Lava flows-Puuikaaka complex, 2 to 20 percent slopes</t>
  </si>
  <si>
    <t>Urochloa brizantha</t>
  </si>
  <si>
    <t>MARUNDU</t>
  </si>
  <si>
    <t>Puuikaaka-Lava flows complex, 10 to 20 percent slopes</t>
  </si>
  <si>
    <t>HIPMC - lbs/acre/year</t>
  </si>
  <si>
    <t>Urochloa mutica</t>
  </si>
  <si>
    <t>California grass</t>
  </si>
  <si>
    <t>Puuikaaka-Lava flows complex, 2 to 10 percent slopes</t>
  </si>
  <si>
    <t>lbs/mo</t>
  </si>
  <si>
    <t>U. maxima var. trichoglume</t>
  </si>
  <si>
    <t>Green panic</t>
  </si>
  <si>
    <t>Kona-Napoopoo complex, 10 to 20 percent slopes</t>
  </si>
  <si>
    <t>OM Adjusted - lbs/acre/year</t>
  </si>
  <si>
    <t>Guinea grass - KONA</t>
  </si>
  <si>
    <t>Kona-Napoopoo complex, 2 to 10 percent slopes</t>
  </si>
  <si>
    <t>lbs/acre/year</t>
  </si>
  <si>
    <t>Guinea grass</t>
  </si>
  <si>
    <t>Kona very cobbly highly decomposed plant material, 20 to 40 percent slopes</t>
  </si>
  <si>
    <t>Megagrams/hectare/year</t>
  </si>
  <si>
    <t>Kikuyu grass</t>
  </si>
  <si>
    <t>Lava flows-Kona complex, 10 to 20 percent slopes</t>
  </si>
  <si>
    <t>20-30</t>
  </si>
  <si>
    <t>4-36</t>
  </si>
  <si>
    <t>7-20</t>
  </si>
  <si>
    <t>10-30</t>
  </si>
  <si>
    <t>5-35</t>
  </si>
  <si>
    <t>6-60</t>
  </si>
  <si>
    <t>9-30</t>
  </si>
  <si>
    <t>3-8(20)</t>
  </si>
  <si>
    <t>3-15</t>
  </si>
  <si>
    <t>3-9</t>
  </si>
  <si>
    <t>11-18(30)</t>
  </si>
  <si>
    <t>27-31</t>
  </si>
  <si>
    <t>6(32)</t>
  </si>
  <si>
    <t>5-15(25)</t>
  </si>
  <si>
    <t>5-15(20)</t>
  </si>
  <si>
    <t>30-40</t>
  </si>
  <si>
    <t>2-10(40)</t>
  </si>
  <si>
    <t>2-18(24)</t>
  </si>
  <si>
    <t>Megagrams/hectare/year - RANGE (fert)</t>
  </si>
  <si>
    <t>Paspalum notatum</t>
  </si>
  <si>
    <t>Bahia grass</t>
  </si>
  <si>
    <t>Kamawai-Puuiki complex, moist, 20 to 50 percent slopes</t>
  </si>
  <si>
    <t>Max Yield Conversions</t>
  </si>
  <si>
    <t>Dallis grass</t>
  </si>
  <si>
    <t>Kona-Lava flows complex, 10 to 20 percent slopes</t>
  </si>
  <si>
    <t>Lolium perenne</t>
  </si>
  <si>
    <t>Perennial ryegrass</t>
  </si>
  <si>
    <t>Kona-Lava flows complex, 2 to 10 percent slopes</t>
  </si>
  <si>
    <t>swag</t>
  </si>
  <si>
    <t>red</t>
  </si>
  <si>
    <t>Ischaemum polystachyum</t>
  </si>
  <si>
    <t>Baron Goto grass</t>
  </si>
  <si>
    <t>Kona and Haplic Udarents soils, 10 to 20 percent slopes</t>
  </si>
  <si>
    <t>Fulkerson et al, 2000</t>
  </si>
  <si>
    <t>gray</t>
  </si>
  <si>
    <t>Limpo grass</t>
  </si>
  <si>
    <t>Kona and Haplic Udarents soils, 2 to 10 percent slopes</t>
  </si>
  <si>
    <t>orange</t>
  </si>
  <si>
    <t>OM-Yield Factor (0-1)</t>
  </si>
  <si>
    <t>% Soil OM</t>
  </si>
  <si>
    <t>Pangola grass</t>
  </si>
  <si>
    <t>Kamawai-Puuiki complex, moist, 10 to 20 percent slopes</t>
  </si>
  <si>
    <t>Feedipedia</t>
  </si>
  <si>
    <t>blue</t>
  </si>
  <si>
    <t>Orchard grass</t>
  </si>
  <si>
    <t>Kekake-Lava flows complex, 10 to 25 percent slopes</t>
  </si>
  <si>
    <t>black</t>
  </si>
  <si>
    <t>South Point Stargrass</t>
  </si>
  <si>
    <t>Kekake-Lava flows complex, 2 to 10 percent slopes</t>
  </si>
  <si>
    <t>FONT</t>
  </si>
  <si>
    <t>Map Unit Name</t>
  </si>
  <si>
    <t>Soil Series</t>
  </si>
  <si>
    <t>Puerto Rican Stargrass</t>
  </si>
  <si>
    <t>Kekake gravelly highly decomposed plant material, 10 to 20 percent slopes</t>
  </si>
  <si>
    <t>Giant bermuda</t>
  </si>
  <si>
    <t>Kekake gravelly highly decomposed plant material, 2 to 10 percent slopes</t>
  </si>
  <si>
    <t>Rain, max, in</t>
  </si>
  <si>
    <t>Chloris gayana</t>
  </si>
  <si>
    <t>Rhodes grass</t>
  </si>
  <si>
    <t>Kamawai-Puuiki complex, moist, 2 to 10 percent slopes</t>
  </si>
  <si>
    <t>Optimum Rain, max, in</t>
  </si>
  <si>
    <t>Cenchrus purpureus</t>
  </si>
  <si>
    <t>Napier grass</t>
  </si>
  <si>
    <t>Mawae-Lava flows complex, 10 to 20 percent slopes</t>
  </si>
  <si>
    <t>Optimum Rain, min, in</t>
  </si>
  <si>
    <t>Buffel grass</t>
  </si>
  <si>
    <t>Mawae-Lava flows complex, 2 to 10 percent slopes</t>
  </si>
  <si>
    <t>Rain, min, in</t>
  </si>
  <si>
    <t>Other</t>
  </si>
  <si>
    <t>Mawae very cobbly highly decomposed plant material, 10 to 20 percent slopes</t>
  </si>
  <si>
    <t>Temp, max, F</t>
  </si>
  <si>
    <t>Species</t>
  </si>
  <si>
    <t>Symbol</t>
  </si>
  <si>
    <t>Mawae very cobbly highly decomposed plant material, 2 to 10 percent slopes</t>
  </si>
  <si>
    <t>Optimum Temp, max, F</t>
  </si>
  <si>
    <t xml:space="preserve">Use Only </t>
  </si>
  <si>
    <t>Puuiki-Kamawai complex, moist, 10 to 20 percent slopes</t>
  </si>
  <si>
    <t>Optimum Temp, min, F</t>
  </si>
  <si>
    <t>Puuiki-Lava flows complex, moist, 20 to 50 percent slopes</t>
  </si>
  <si>
    <t>Temp, min, F</t>
  </si>
  <si>
    <t>Kali-Lava flows complex, 10 to 20 percent slopes</t>
  </si>
  <si>
    <t>Lava flows-Puuiki complex, moist, 2 to 20 percent slopes</t>
  </si>
  <si>
    <t>PG3</t>
  </si>
  <si>
    <t>PG7</t>
  </si>
  <si>
    <t>PG5</t>
  </si>
  <si>
    <t>2. For the Pasture Group and Joe May models, only normal/average production values were used to calculate monthly production.</t>
  </si>
  <si>
    <t>Punaluu highly decomposed plant material, 10 to 20 percent slopes</t>
  </si>
  <si>
    <t xml:space="preserve">1. The Hawaii Rainfall Atlas provides a 30 -year avarge/normal monthly rainfall and temperature data. </t>
  </si>
  <si>
    <t>Lava flows-Punaluu complex, 2 to 20 percent slopes</t>
  </si>
  <si>
    <t>Punaluu-Lava flows complex, 10 to 20 percent slopes</t>
  </si>
  <si>
    <t>Punaluu-Lava flows complex, 2 to 10 percent slopes</t>
  </si>
  <si>
    <t>Punaluu highly decomposed plant material, 2 to 10 percent slopes</t>
  </si>
  <si>
    <t>Change values for East Area?</t>
  </si>
  <si>
    <t>other islands</t>
  </si>
  <si>
    <t>Puuiki-Lava flows complex, moist, 10 to 20 percent slopes</t>
  </si>
  <si>
    <t>Tutuila</t>
  </si>
  <si>
    <t>Kapua-Lava flows complex, 10 to 20 percent slopes</t>
  </si>
  <si>
    <t>2. Guam, Palau, Pohnpei, Saipan, and Tutuila - used multiplier specified for "Hawaii Island"</t>
  </si>
  <si>
    <t>Kapua-Lava flows complex, 2 to 10 percent slopes</t>
  </si>
  <si>
    <t>1. "other islands" - used multiplier specified for  for Lanai, Molokai and Oahu</t>
  </si>
  <si>
    <t>Kapua and Haplic Ustarents soils, 10 to 20 percent slopes</t>
  </si>
  <si>
    <t>NOTES</t>
  </si>
  <si>
    <t>Kapua and Haplic Ustarents soils, 2 to 10 percent slopes</t>
  </si>
  <si>
    <t>Oahu</t>
  </si>
  <si>
    <t>Puna very cobbly highly decomposed plant material, 20 to 40 percent slopes</t>
  </si>
  <si>
    <t>Molokai</t>
  </si>
  <si>
    <t>Puna-Lava flows complex, 10 to 20 percent slopes</t>
  </si>
  <si>
    <t>Puna-Lava flows complex, 2 to 10 percent slopes</t>
  </si>
  <si>
    <t>Lanai</t>
  </si>
  <si>
    <t>Puna and Haplic Udarents soils, 10 to 20 percent slopes</t>
  </si>
  <si>
    <t>use dry or air dry values? =10% difference</t>
  </si>
  <si>
    <t>Puna and Haplic Udarents soils, 2 to 10 percent slopes</t>
  </si>
  <si>
    <t>Noio-Lava flows complex, 10 to 20 percent slopes</t>
  </si>
  <si>
    <t>Noio-Lava flows complex, 2 to 10 percent slopes</t>
  </si>
  <si>
    <t>air-dried</t>
  </si>
  <si>
    <t>oven-dried</t>
  </si>
  <si>
    <t>Island</t>
  </si>
  <si>
    <t>Lava flows-Honokohau complex, 2 to 20 percent slopes</t>
  </si>
  <si>
    <t>Forage Production conversion factor - lbs/acre/inch rain/month</t>
  </si>
  <si>
    <t>Lava flows-Kaimu complex, 2 to 20 percent slopes</t>
  </si>
  <si>
    <t>Kaimu-Lava flows complex, 10 to 20 percent slopes</t>
  </si>
  <si>
    <t>Predicted Forage Yield - lbs/acre</t>
  </si>
  <si>
    <t>Kaimu-Lava flows complex, 2 to 10 percent slopes</t>
  </si>
  <si>
    <t>OUTPUT:</t>
  </si>
  <si>
    <t>Kaimu extremely cobbly highly decomposed plant material, 10 to 20 percent slopes</t>
  </si>
  <si>
    <t>Kaimu extremely cobbly highly decomposed plant material, 2 to 10 percent slopes</t>
  </si>
  <si>
    <t>1. Selected Responses based on typical circumstances</t>
  </si>
  <si>
    <t>Dumps, fill land, 0 to 3 percent slopes</t>
  </si>
  <si>
    <t>Lava flows association, 40 to 99 percent slopes</t>
  </si>
  <si>
    <t>Badland, 10 to 50 percent slopes</t>
  </si>
  <si>
    <t>Badland, geothermal, 2 to 40 percent slopes</t>
  </si>
  <si>
    <t>Water, sewage treatment</t>
  </si>
  <si>
    <t>Pits, quarry</t>
  </si>
  <si>
    <t>Response Options:</t>
  </si>
  <si>
    <t>Dune land, 2 to 20 percent slopes</t>
  </si>
  <si>
    <t>Beaches, 0 to 6 percent slopes</t>
  </si>
  <si>
    <t>Riverwash, 2 to 10 percent slopes</t>
  </si>
  <si>
    <t>If yes, estimate % temp suppression</t>
  </si>
  <si>
    <t>Dumps, sanitary landfill</t>
  </si>
  <si>
    <t>Cinder land, 20 to 40 percent slopes</t>
  </si>
  <si>
    <t>Cinder land, 2 to 20 percent slopes</t>
  </si>
  <si>
    <t>Lava flows complex, 2 to 20 percent slopes</t>
  </si>
  <si>
    <t>Lava flows, pahoehoe, 20 to 40 percent slopes</t>
  </si>
  <si>
    <t>Lava flows, pahoehoe, 2 to 20 percent slopes</t>
  </si>
  <si>
    <t>INPUT:</t>
  </si>
  <si>
    <t>Lava flows, `a`a, 20 to 40 percent slopes</t>
  </si>
  <si>
    <t>Baseline</t>
  </si>
  <si>
    <t>Lava flows, `a`a, 2 to 20 percent slopes</t>
  </si>
  <si>
    <t>% 0 prod (lava or RB etc)</t>
  </si>
  <si>
    <t>Lava flows-Cinder land complex, 2 to 40 percent slopes, MLRA 161A</t>
  </si>
  <si>
    <t>% nonproductive</t>
  </si>
  <si>
    <t>Regime</t>
  </si>
  <si>
    <t>Good</t>
  </si>
  <si>
    <t>Poor</t>
  </si>
  <si>
    <t>pH</t>
  </si>
  <si>
    <t>Matter</t>
  </si>
  <si>
    <t>Group</t>
  </si>
  <si>
    <t>Map</t>
  </si>
  <si>
    <t>Constants</t>
  </si>
  <si>
    <t>Moisture</t>
  </si>
  <si>
    <t>Temp</t>
  </si>
  <si>
    <t>Organic</t>
  </si>
  <si>
    <t>Pasture Condition</t>
  </si>
  <si>
    <t>Soil Map Symbol</t>
  </si>
  <si>
    <t>528 Prescribed Grazing Tool</t>
  </si>
  <si>
    <t>MUST BE SORTED IN ASCENDING ORDER BY MAP SYMBOL</t>
  </si>
  <si>
    <t>SOILS DATABASE</t>
  </si>
  <si>
    <t>PREDICTION MODELS</t>
  </si>
  <si>
    <t>FORAGE YIELD PREDICTION MODEL</t>
  </si>
  <si>
    <t>NRPH</t>
  </si>
  <si>
    <t>2 inches</t>
  </si>
  <si>
    <t>4 inches</t>
  </si>
  <si>
    <t>3 inches</t>
  </si>
  <si>
    <t>6-8 inches</t>
  </si>
  <si>
    <t>Common Bermuda grass</t>
  </si>
  <si>
    <t>1 inch</t>
  </si>
  <si>
    <t>6 inches</t>
  </si>
  <si>
    <t>8-10 inches</t>
  </si>
  <si>
    <t>3-4 inches</t>
  </si>
  <si>
    <t>Marundu</t>
  </si>
  <si>
    <t>Mulatto</t>
  </si>
  <si>
    <t>4-5 inches</t>
  </si>
  <si>
    <t>Record Keeping worksheets, Monitoring and Certification forms are available within this workbook.</t>
  </si>
  <si>
    <t>Supporting Documents</t>
  </si>
  <si>
    <t>Review the rest of the 528 IR, complete all yellow cells and add any other "Additional Details" needed.</t>
  </si>
  <si>
    <t>Assess planned system with "Step 3 FA Balance" and determine any changes needed to herd composition to balance the system.</t>
  </si>
  <si>
    <t>Evaluate Alternatives</t>
  </si>
  <si>
    <t>G</t>
  </si>
  <si>
    <t>Formulate Alternatives with client</t>
  </si>
  <si>
    <t>F</t>
  </si>
  <si>
    <t>"528 IR"</t>
  </si>
  <si>
    <t>Total and monthly production estimates should generate automatically.</t>
  </si>
  <si>
    <t>Double click the yellow box in the soil-forage column and select the option appropriate to the paddock.</t>
  </si>
  <si>
    <t>"Step 3 FA Balance"</t>
  </si>
  <si>
    <t>Calculate Forage Animal Balance</t>
  </si>
  <si>
    <t>E</t>
  </si>
  <si>
    <t>Repeat this process to generate estimates for all unique soil-pasture combinations needed to represent the pastures in the plan.</t>
  </si>
  <si>
    <t>In section C, enter the Soil Mapunit Symbol and Forage type (ex. 901-Guinea) to identify the pasture type.  Copy row 53 to the table next to the description.</t>
  </si>
  <si>
    <t>Generate estimated annual forage production amounts and growth curves</t>
  </si>
  <si>
    <t>D</t>
  </si>
  <si>
    <t>"Step 2 Production Estimate"</t>
  </si>
  <si>
    <t xml:space="preserve">http://evapotranspiration.geography.hawaii.edu/interactivemap.html  </t>
  </si>
  <si>
    <t xml:space="preserve">Characterize the site </t>
  </si>
  <si>
    <t>C</t>
  </si>
  <si>
    <t>Conduct Plant Inventory and Grazing Land Assessment</t>
  </si>
  <si>
    <t>B</t>
  </si>
  <si>
    <t>Inventory the operation</t>
  </si>
  <si>
    <t>A</t>
  </si>
  <si>
    <t>Date</t>
  </si>
  <si>
    <t>Signature</t>
  </si>
  <si>
    <t xml:space="preserve"> - will obtain all necessary permissions, permits and/or rights, comply with all ordinances and laws, and notify all utilities pertaining to the implementation of this practice.</t>
  </si>
  <si>
    <t xml:space="preserve"> - will implement this practice in accordance with this Jobsheet and</t>
  </si>
  <si>
    <t xml:space="preserve"> - Dates of and numbers of livestock moved between paddocks.</t>
  </si>
  <si>
    <t xml:space="preserve"> - Accurate recoreds of total numbers of livestock</t>
  </si>
  <si>
    <t xml:space="preserve"> - will keep accurate and current grazing records and provide to NRCS annually, to include:</t>
  </si>
  <si>
    <t xml:space="preserve"> - will make no changes to this Jobsheet, without prior concurrence of NRCS;</t>
  </si>
  <si>
    <t xml:space="preserve"> - have reviewed this document and understand its content and requirements</t>
  </si>
  <si>
    <t>By signing below, I acknowledge that I:</t>
  </si>
  <si>
    <t>Client's Acknowledgement</t>
  </si>
  <si>
    <t>**The practice “design” (job specifications - requirements for installation, operation, and maintenance) as documented in this Jobsheet has been prepared in accordance with the Conservation Practice Standard.</t>
  </si>
  <si>
    <t>* The inventory and evaluation data needed to design the practice is adequate and accurate.</t>
  </si>
  <si>
    <t>Design**</t>
  </si>
  <si>
    <t>Inventory and Evaluation*</t>
  </si>
  <si>
    <t>JAA of Approver</t>
  </si>
  <si>
    <t>Print Name</t>
  </si>
  <si>
    <t>Practice Approvals</t>
  </si>
  <si>
    <t>Practice I&amp;E and Design Approvals</t>
  </si>
  <si>
    <t>Unlimited</t>
  </si>
  <si>
    <t>&lt;6 Veg Types / &lt;=15 pastures / &lt;=6 Herds</t>
  </si>
  <si>
    <t>&lt;4 Veg Types / &lt;=12 pastures / &lt;=5 Herds</t>
  </si>
  <si>
    <t>&lt;2 Veg Types / &lt;=7 pastures / &lt;=3 Herds</t>
  </si>
  <si>
    <t>1 Veg Type / &lt;=4 Pastures / &lt;=1 Herd</t>
  </si>
  <si>
    <t>Number of Veg Types / Number of Pastures / Scope (Number of herds)</t>
  </si>
  <si>
    <t>Vegetation Types and Complexity Factor (pastures) and scope (number of herds)</t>
  </si>
  <si>
    <t>Previous and/or HILF</t>
  </si>
  <si>
    <t>Previous and/or Multi-Species Livestock</t>
  </si>
  <si>
    <t>Previous and/or Strip Grazing</t>
  </si>
  <si>
    <t>Seasonal/Rotational</t>
  </si>
  <si>
    <t>Method</t>
  </si>
  <si>
    <t>Grazing Method</t>
  </si>
  <si>
    <t>&lt;2000</t>
  </si>
  <si>
    <t>&lt;700</t>
  </si>
  <si>
    <t>&lt;300</t>
  </si>
  <si>
    <t>&lt;100</t>
  </si>
  <si>
    <t>Acreage</t>
  </si>
  <si>
    <t>Complexity due to Operational Size (Ac) Pastureland Only</t>
  </si>
  <si>
    <t>Rangeland Mgt Specialist</t>
  </si>
  <si>
    <t>Prescribed Grazing</t>
  </si>
  <si>
    <t>V</t>
  </si>
  <si>
    <t>IV</t>
  </si>
  <si>
    <t>III</t>
  </si>
  <si>
    <t>II</t>
  </si>
  <si>
    <t>I</t>
  </si>
  <si>
    <t>Units</t>
  </si>
  <si>
    <t>Controlling Factor</t>
  </si>
  <si>
    <t>Lead Discipline</t>
  </si>
  <si>
    <t>Code</t>
  </si>
  <si>
    <t xml:space="preserve">Practice  </t>
  </si>
  <si>
    <t>Job Class</t>
  </si>
  <si>
    <t xml:space="preserve">NRCS policy requires that the practice inventory and evaluation (I&amp;E) data, design, and installation be approved by a NRCS or partner employee with the required Job Approval Authority (JAA) or higher.  </t>
  </si>
  <si>
    <t>Job Approval Authority</t>
  </si>
  <si>
    <t xml:space="preserve">This section documents the practice approvals and the client’s acknowledgement of his/her responsibilities.  </t>
  </si>
  <si>
    <t>Time of Year</t>
  </si>
  <si>
    <t>Measurement(s) Taken</t>
  </si>
  <si>
    <t>Key Grazing Areas
(show on map)</t>
  </si>
  <si>
    <t>Key Forage or Browse Species</t>
  </si>
  <si>
    <t>Key Grazing Speces and Key Grazing Areas</t>
  </si>
  <si>
    <t>Other as described:</t>
  </si>
  <si>
    <t xml:space="preserve">PI-NRCS-416 Browse Resource Evaluation Worksheet  </t>
  </si>
  <si>
    <t xml:space="preserve">PI-NRCS-414 Prescribed Grazing Certification Worksheet  </t>
  </si>
  <si>
    <t>X</t>
  </si>
  <si>
    <r>
      <t>PI-RANGE-7 Stubble Height &amp; Basal Gap Worksheet</t>
    </r>
    <r>
      <rPr>
        <sz val="10"/>
        <rFont val="Arial"/>
        <family val="2"/>
      </rPr>
      <t xml:space="preserve"> </t>
    </r>
    <r>
      <rPr>
        <b/>
        <sz val="10"/>
        <rFont val="Arial"/>
        <family val="2"/>
      </rPr>
      <t xml:space="preserve">+ Photo Documentation </t>
    </r>
  </si>
  <si>
    <r>
      <t>PI-RANGE-6 Stubble Height &amp; Frequency</t>
    </r>
    <r>
      <rPr>
        <b/>
        <sz val="10"/>
        <rFont val="Times New Roman"/>
        <family val="1"/>
      </rPr>
      <t xml:space="preserve"> </t>
    </r>
    <r>
      <rPr>
        <b/>
        <sz val="10"/>
        <rFont val="Arial"/>
        <family val="2"/>
      </rPr>
      <t>Worksheet + Photo Documentation</t>
    </r>
  </si>
  <si>
    <t>“X” or describe the type of worksheet(s) to be completed as part of the monitoring plan (to be attached to this Jobsheet when completed):</t>
  </si>
  <si>
    <t>A monitoring plan shall be developed to assess whether the grazing strategy is resulting in a positive or upward trend and is meeting objectives.  The key areas and key plants to be evaluated are identified below. In the Pacific Islands Area, the Monitoring Plan will include use of the forms listed below.  Only use the PI-NRCS-416 if the predominant grazing forage resource and key plants are woody species.  If the predominant forage base and the key grazing plants are woody, use the PI-NRCS-414.</t>
  </si>
  <si>
    <t>Monitoring Plan</t>
  </si>
  <si>
    <t>Additional Details:</t>
  </si>
  <si>
    <t>All contingency management actions must be documented in sufficient detail (describe disaster, record dates, actions taken, numbers) to demonstrate the plan has been implemented.</t>
  </si>
  <si>
    <t>In the event of significant forage losses due to wildlife, insects, disease or other causes, management will be adjusted including making changes to herd size and composition, pasture allocations, etc to avoid overgrazing surviving forage. NRCS planner will be contacted for further guidance.</t>
  </si>
  <si>
    <t>In the event of wildfire or flood that impacts forage production, pastures will be evaluated and animals will be removed from impacted areas to allow areas to recover.  Herd will be reduced, relocated or provided supplemental feed in a sacrifice lot.  Grazing shall not recommence in impacted areas until the grass has recovered to the 4-5 leaf stage.  NRCS planner will be contacted for further guidance.</t>
  </si>
  <si>
    <t>Average Monthly Rainfall and Temperature Distribution:</t>
  </si>
  <si>
    <t xml:space="preserve">Monitoring rainfall and other climatic indicators (soil moisture, grass growth) can help to identify the beginning of a drought.  As a condition of prescribed grazing, rainfall will be monitored and records kept.  Well managed pastures (healthy vigorous grass with a good root system) have been shown to perform better during and after a drought than poorly managed pastures.  In the event of a drought, care will be taken to avoid reducing the pasture’s ability to respond to improved conditions.  Some management options to consider in order to minimize the effects of a drought on the pasture are: 1) Reduce herd or 2) Move animals off-site  or 3) supplemental feed in a sacrifice lot.
After a drought, pasture productivity will continue to be reduced as the grass recovers.  Pastures should be allowed a recovery period similar to that of pastures coming out of the slow-growing season before grazing (grass should be allowed to get to the 4-5 leaf stage).  Grazing pressure should be light and quick in order to not hinder the development of stem and leaf area and to allow the grass to restore roots and reserves that may have been depleted during the drought.  Restocking to pre-drought levels should not commence until after the grass has had adequate time to recover with little to no grazing.  (Reference University of Arizona’s “Rangeland Management Before, During, and After Drought”).  
As a general rule of thumb, the drought management plan will be implemented when the rainfall for the three previous months have been &lt;/= 50% of average rainfall per location.  </t>
  </si>
  <si>
    <t>Prescribed Grazing requires monitoring of rainfall in order to identify and manage for drought.  Producers must maintain and record rainfall monthly from at least one rain gauge per 1000 acres.  Monthly rainfall totals will be compared to averages for the location.  When rainfall is consistently below 50% of average, producer will begin implementing contingency plan.  Document any measures taken for prescribed grazing certification.</t>
  </si>
  <si>
    <t>Contingency Plan:</t>
  </si>
  <si>
    <r>
      <t>Prescribed Grazing requires livestock grazing records be kept and provided to NRCS annually</t>
    </r>
    <r>
      <rPr>
        <b/>
        <sz val="10"/>
        <rFont val="Arial"/>
        <family val="2"/>
      </rPr>
      <t>.</t>
    </r>
    <r>
      <rPr>
        <b/>
        <u/>
        <sz val="10"/>
        <rFont val="Arial"/>
        <family val="2"/>
      </rPr>
      <t xml:space="preserve"> See Record Keeping Worksheet.</t>
    </r>
  </si>
  <si>
    <t>Ground cover provided by plant canopy, plant bases and litter protects the soil from erosion, improves water infiltration, helps conserve moisture and helps keep the seeds (and soil) on site (rather than blowing away).  To increase ground cover in bunchgrass environments, ensure the grass is able to set seed whenever possible before grazing it all off.  This requires a watchful eye and might mean grazing a paddock lightly if the seed head is still developing to ensure some seed reaches maturity.  The seed needs to mature and shatter to ensure new plants will come up in the next growing season.</t>
  </si>
  <si>
    <t>TIMING</t>
  </si>
  <si>
    <t>“Excessive removal of green leafy material during the growing season reduces root growth and replacement, decreasing the ability of plants to harvest solar energy and soil moisture needed for maintenance and growth. Conversely, moderate grazing causes little reduction in root growth or plant vigor”  See Figure to the right.</t>
  </si>
  <si>
    <t>INTENSITY:</t>
  </si>
  <si>
    <t>Recovery requires rest period (time) WITH sufficient growing conditions.  During drought conditions, rest periods may need to be adjusted to allow adequate time for recovery.  Grasses should be allowed to rest until they have regrown to the 4-5 leaf stage before grazing.  This ensures the plant has had opportunity to replenish stored energy reserves to recover after the next grazing event.</t>
  </si>
  <si>
    <t>*If this line is red, the rest period in slow growing season is too short, adjust grazing period.</t>
  </si>
  <si>
    <t>days rest for each paddock.</t>
  </si>
  <si>
    <t>*If this line is red, the rest period in growing season is too short, adjust grazing period.</t>
  </si>
  <si>
    <t xml:space="preserve">days.  </t>
  </si>
  <si>
    <t>The planned grazing period in the slow growing season is</t>
  </si>
  <si>
    <t>The planned grazing period in the fast growing season is</t>
  </si>
  <si>
    <t>DURATION / TIMING / FREQUENCY</t>
  </si>
  <si>
    <t>acres.</t>
  </si>
  <si>
    <t xml:space="preserve">paddocks across a total of </t>
  </si>
  <si>
    <t xml:space="preserve">Livestock will be rotated through a system of </t>
  </si>
  <si>
    <t>General Description of grazing system:</t>
  </si>
  <si>
    <t>Grazing Plan:</t>
  </si>
  <si>
    <t>This principle especially applies to areas that have growing conditions (adequate moisture), more often during the year. Care needs to be taken to avoid repeated grazing on individual plants during a grazing period.  Attention to stock density, grazing period and whether the grass is trying to regrow while animals are still grazing a paddock will help avoid this type of over-grazing.</t>
  </si>
  <si>
    <t>Feed &amp; Forage Balance Summay</t>
  </si>
  <si>
    <t>Attach</t>
  </si>
  <si>
    <t>Forage Animal Balance is out of balance.  Work with client to discuss adjusting herd composition or increasing grazable areas to find balance.</t>
  </si>
  <si>
    <t>Balance</t>
  </si>
  <si>
    <t>Animal Unit Year (AUY)</t>
  </si>
  <si>
    <t>Demand</t>
  </si>
  <si>
    <t>Animal Unit Month (AUM)</t>
  </si>
  <si>
    <t>Supply</t>
  </si>
  <si>
    <t>Animal Unit Day (AUD)</t>
  </si>
  <si>
    <t>Lbs (air-dry)</t>
  </si>
  <si>
    <t>Forage Animal Balance</t>
  </si>
  <si>
    <t>per year</t>
  </si>
  <si>
    <t>per month</t>
  </si>
  <si>
    <t>per day</t>
  </si>
  <si>
    <t>Intake Rate</t>
  </si>
  <si>
    <t>Avg Wt</t>
  </si>
  <si>
    <t>Total Demand</t>
  </si>
  <si>
    <t>Recommended stocking rate (balanced)</t>
  </si>
  <si>
    <t>Current Stocking Rate</t>
  </si>
  <si>
    <t>Livestock Inventory</t>
  </si>
  <si>
    <t>x</t>
  </si>
  <si>
    <t>Riparian Area Degradation</t>
  </si>
  <si>
    <t>Wildfire Hazard</t>
  </si>
  <si>
    <t>Overgrazed</t>
  </si>
  <si>
    <t>Herbaeceous Weeds</t>
  </si>
  <si>
    <t>Brush</t>
  </si>
  <si>
    <t>Livestock Water</t>
  </si>
  <si>
    <t>Soil Erosion</t>
  </si>
  <si>
    <t>Key Forage Species</t>
  </si>
  <si>
    <t>Soil-Forage</t>
  </si>
  <si>
    <t>acres</t>
  </si>
  <si>
    <t>Paddock Inventory</t>
  </si>
  <si>
    <t>Estimated Average Production (Lbs/acre)</t>
  </si>
  <si>
    <t>Slow grow</t>
  </si>
  <si>
    <t>Fast grow</t>
  </si>
  <si>
    <t>Stubble Height</t>
  </si>
  <si>
    <t>Pasture Composition</t>
  </si>
  <si>
    <t>Recover period</t>
  </si>
  <si>
    <t>Forage Inventory:</t>
  </si>
  <si>
    <t>Main Pasture Soil Type(s):</t>
  </si>
  <si>
    <t>Attach copy of map showing ranch infrastructure and paddocks with acreages</t>
  </si>
  <si>
    <t>Inventory:</t>
  </si>
  <si>
    <t>Purpose for implementing Prescribed Grazing:</t>
  </si>
  <si>
    <t>Manage fine fuel loads to achieve desired conditions.</t>
  </si>
  <si>
    <t>Improve or maintain the quantity and quality or connectivity of food and/or cover available for wildlife.</t>
  </si>
  <si>
    <t xml:space="preserve">Field Office: </t>
  </si>
  <si>
    <t>Planned by:</t>
  </si>
  <si>
    <t xml:space="preserve">Reduce soil erosion, and maintain or improve soil condition.  </t>
  </si>
  <si>
    <t>Improve or maintain riparian and watershed function.</t>
  </si>
  <si>
    <t>Tract:</t>
  </si>
  <si>
    <t>Improve or maintain surface and/or subsurface water quality and quantity.</t>
  </si>
  <si>
    <t>Improve or maintain quantity and/or quality of forage for grazing and browsing animals’ health and productivity.</t>
  </si>
  <si>
    <t>Contract:</t>
  </si>
  <si>
    <t>Herd:</t>
  </si>
  <si>
    <t>Improve or maintain desired species composition, structure and/or vigor of plant communities.</t>
  </si>
  <si>
    <t xml:space="preserve">Date: </t>
  </si>
  <si>
    <t>Client:</t>
  </si>
  <si>
    <t>Objectives:</t>
  </si>
  <si>
    <t>Prescribed Grazing Plan</t>
  </si>
  <si>
    <t>PACIFIC ISLANDS AREA</t>
  </si>
  <si>
    <t>NATURAL RESOURCES CONSERVATION SERVICE</t>
  </si>
  <si>
    <t>*Enter notes on the back if necessary</t>
  </si>
  <si>
    <t>Days</t>
  </si>
  <si>
    <t>Rain-fall</t>
  </si>
  <si>
    <t>20___ Grazing Records</t>
  </si>
  <si>
    <t>Kind, class and numbers of animals</t>
  </si>
  <si>
    <t>Paddock Name/#</t>
  </si>
  <si>
    <t>Paddock Name/Number</t>
  </si>
  <si>
    <t>Livestock Inventory:</t>
  </si>
  <si>
    <t>Pasture Inventory:</t>
  </si>
  <si>
    <t>Herd Name:</t>
  </si>
  <si>
    <t>Ranch/Client Name:</t>
  </si>
  <si>
    <t>528 Prescribed Grazing Record Keeping Worksheet</t>
  </si>
  <si>
    <t>Inches</t>
  </si>
  <si>
    <t>Type</t>
  </si>
  <si>
    <t>Rainfall</t>
  </si>
  <si>
    <t>Forage Height</t>
  </si>
  <si>
    <t>Date Out</t>
  </si>
  <si>
    <t>Date In</t>
  </si>
  <si>
    <t>Livestock</t>
  </si>
  <si>
    <t>Pasture #</t>
  </si>
  <si>
    <t>Ranch Name:</t>
  </si>
  <si>
    <t>Prescribed Grazing Record Keeping</t>
  </si>
  <si>
    <t>Shrubs/Trees</t>
  </si>
  <si>
    <t>Forbs</t>
  </si>
  <si>
    <t>% hits by species</t>
  </si>
  <si>
    <t>Total Hits</t>
  </si>
  <si>
    <t>P10</t>
  </si>
  <si>
    <t>P9</t>
  </si>
  <si>
    <t>P8</t>
  </si>
  <si>
    <t>P7</t>
  </si>
  <si>
    <t>P6</t>
  </si>
  <si>
    <t>P5</t>
  </si>
  <si>
    <t>P4</t>
  </si>
  <si>
    <t>P3</t>
  </si>
  <si>
    <t>P2</t>
  </si>
  <si>
    <t>P1</t>
  </si>
  <si>
    <t>Grasses &amp; Grasslikes</t>
  </si>
  <si>
    <t>3rd</t>
  </si>
  <si>
    <t>2nd</t>
  </si>
  <si>
    <t>1st P1-P10</t>
  </si>
  <si>
    <t>Frequency Frames placed on South side of 100-foot tape; readings taken at 10-foot intervals.</t>
  </si>
  <si>
    <t>ALL Species</t>
  </si>
  <si>
    <t xml:space="preserve">Observers:                                                                    </t>
  </si>
  <si>
    <r>
      <t xml:space="preserve"> 40 cm</t>
    </r>
    <r>
      <rPr>
        <vertAlign val="superscript"/>
        <sz val="10"/>
        <rFont val="Arial"/>
        <family val="2"/>
      </rPr>
      <t>2</t>
    </r>
  </si>
  <si>
    <t xml:space="preserve">Freq. Frame Size:  </t>
  </si>
  <si>
    <t xml:space="preserve">DATUM:              UTM:                                                                   </t>
  </si>
  <si>
    <t xml:space="preserve">Pasture:                                    </t>
  </si>
  <si>
    <r>
      <t xml:space="preserve">Date:    </t>
    </r>
    <r>
      <rPr>
        <b/>
        <sz val="10"/>
        <rFont val="Arial"/>
        <family val="2"/>
      </rPr>
      <t xml:space="preserve"> </t>
    </r>
    <r>
      <rPr>
        <sz val="10"/>
        <rFont val="Arial"/>
        <family val="2"/>
      </rPr>
      <t xml:space="preserve">   </t>
    </r>
  </si>
  <si>
    <t xml:space="preserve">Soil:                                                      </t>
  </si>
  <si>
    <t xml:space="preserve">Ecological Site:                                                         </t>
  </si>
  <si>
    <t xml:space="preserve">MLRA:                                  </t>
  </si>
  <si>
    <t xml:space="preserve">Ranch:                                       </t>
  </si>
  <si>
    <r>
      <t xml:space="preserve">PI-RANGE-6   Stubble Height (front) &amp; Frequency (back) Worksheet                                                                                                                </t>
    </r>
    <r>
      <rPr>
        <sz val="9"/>
        <rFont val="Arial"/>
        <family val="2"/>
      </rPr>
      <t xml:space="preserve">                                                      </t>
    </r>
  </si>
  <si>
    <t>&gt; 8"</t>
  </si>
  <si>
    <t>6.1 to 7.9"</t>
  </si>
  <si>
    <t>4.0 to 6"</t>
  </si>
  <si>
    <t>3.0 to 4.0"</t>
  </si>
  <si>
    <t>1.1 to 2.9"</t>
  </si>
  <si>
    <t>0 to 1.0"</t>
  </si>
  <si>
    <t>FORAGE Species:</t>
  </si>
  <si>
    <t>% meeting 528</t>
  </si>
  <si>
    <r>
      <t xml:space="preserve">Record the current height of  </t>
    </r>
    <r>
      <rPr>
        <b/>
        <sz val="11"/>
        <color indexed="10"/>
        <rFont val="Arial"/>
        <family val="2"/>
      </rPr>
      <t>FORAGE species</t>
    </r>
    <r>
      <rPr>
        <b/>
        <sz val="11"/>
        <rFont val="Arial"/>
        <family val="2"/>
      </rPr>
      <t xml:space="preserve">  intercepted at 3-foot intervals along the 100-ft long tape</t>
    </r>
  </si>
  <si>
    <t>Other (describe)</t>
  </si>
  <si>
    <t>Cryptogam</t>
  </si>
  <si>
    <t>Live Vegetation Basal</t>
  </si>
  <si>
    <t>Live Vegetation Canopy</t>
  </si>
  <si>
    <t xml:space="preserve">Litter </t>
  </si>
  <si>
    <t>Coarse Frags (3.1-25.0")</t>
  </si>
  <si>
    <t>Gravel  (2mm - 3.0 in.)</t>
  </si>
  <si>
    <t>Bare Ground</t>
  </si>
  <si>
    <t>Record the type of ground cover at 3-foot intervals along the 100-ft long tape</t>
  </si>
  <si>
    <t>Ground Cover:</t>
  </si>
  <si>
    <t>Shrub:</t>
  </si>
  <si>
    <t>Forb:</t>
  </si>
  <si>
    <t>Grass:</t>
  </si>
  <si>
    <t>Avg Height of grasses, forbs &amp; shrubs (feet):</t>
  </si>
  <si>
    <t xml:space="preserve">Clipped Production (lbs/ac):                                                                                     </t>
  </si>
  <si>
    <t xml:space="preserve">Estimated Production (lbs/ac):                                                </t>
  </si>
  <si>
    <t xml:space="preserve">General Desc:                                                                 </t>
  </si>
  <si>
    <t xml:space="preserve">Key Area:                           </t>
  </si>
  <si>
    <t xml:space="preserve">Precip:               </t>
  </si>
  <si>
    <t xml:space="preserve">Elevation:                </t>
  </si>
  <si>
    <t xml:space="preserve">Exposure:                                </t>
  </si>
  <si>
    <t xml:space="preserve">Slope:                                        </t>
  </si>
  <si>
    <t xml:space="preserve">Date:            </t>
  </si>
  <si>
    <t xml:space="preserve">Soil:                                                       </t>
  </si>
  <si>
    <t xml:space="preserve">Ranch:                                    </t>
  </si>
  <si>
    <t xml:space="preserve">PI-RANGE-6   Stubble Height (front) &amp; Frequency (back) Worksheet  </t>
  </si>
  <si>
    <t>TOTAL PERCENT GAP:</t>
  </si>
  <si>
    <t>TOTAL FEET COVERED:</t>
  </si>
  <si>
    <t>TOTAL FEET OF GAP:</t>
  </si>
  <si>
    <t>AVERAGE PLANT GAP FOR BOTH TRANSECTS:</t>
  </si>
  <si>
    <r>
      <t xml:space="preserve">Two 100-foot transects were measured.  41.6% of the transects were covered by plant basal lengths </t>
    </r>
    <r>
      <rPr>
        <u/>
        <sz val="10"/>
        <color indexed="10"/>
        <rFont val="Arial"/>
        <family val="2"/>
      </rPr>
      <t>&gt;</t>
    </r>
    <r>
      <rPr>
        <sz val="10"/>
        <color indexed="10"/>
        <rFont val="Arial"/>
        <family val="2"/>
      </rPr>
      <t xml:space="preserve">1-foot.  The remaining 58.5% of the transect was not intercepted by plant bases.  The overall ground cover measured was 33% bareground, and 45% litter.  If the total percentage of gaps is low, then plant density, soil stability and water/nutrient cycles should be functioning properly.  This transect indicates that plant spacing is excessive, the opportunity for soil erosion is high, and there is poor water/nutrient cycling.  </t>
    </r>
  </si>
  <si>
    <r>
      <t>Gap Length</t>
    </r>
    <r>
      <rPr>
        <sz val="8"/>
        <rFont val="Arial"/>
        <family val="2"/>
      </rPr>
      <t xml:space="preserve"> (tenths of a foot)</t>
    </r>
  </si>
  <si>
    <r>
      <t>Gap End</t>
    </r>
    <r>
      <rPr>
        <sz val="8"/>
        <rFont val="Arial"/>
        <family val="2"/>
      </rPr>
      <t xml:space="preserve"> (tenths of a foot)</t>
    </r>
  </si>
  <si>
    <r>
      <t>Gap Start</t>
    </r>
    <r>
      <rPr>
        <sz val="8"/>
        <rFont val="Arial"/>
        <family val="2"/>
      </rPr>
      <t xml:space="preserve"> (tenths of a foot)</t>
    </r>
  </si>
  <si>
    <t>FORAGE Specie(s) Used to Measure Gaps:</t>
  </si>
  <si>
    <r>
      <t>Second 100-Foot Transect:</t>
    </r>
    <r>
      <rPr>
        <sz val="8"/>
        <color indexed="10"/>
        <rFont val="Arial"/>
        <family val="2"/>
      </rPr>
      <t xml:space="preserve"> 340-degree bearing</t>
    </r>
  </si>
  <si>
    <r>
      <t xml:space="preserve">First 100-Foot Transect: </t>
    </r>
    <r>
      <rPr>
        <sz val="8"/>
        <color indexed="10"/>
        <rFont val="Arial"/>
        <family val="2"/>
      </rPr>
      <t>220-degree bearing</t>
    </r>
  </si>
  <si>
    <t>Basal gap distance is measured when FORAGE plant bases intercept &lt;1-foot of 100-foot tape length</t>
  </si>
  <si>
    <r>
      <t xml:space="preserve">DATUM: </t>
    </r>
    <r>
      <rPr>
        <b/>
        <sz val="10"/>
        <rFont val="Arial"/>
        <family val="2"/>
      </rPr>
      <t>NAD83</t>
    </r>
    <r>
      <rPr>
        <sz val="10"/>
        <rFont val="Arial"/>
        <family val="2"/>
      </rPr>
      <t xml:space="preserve">             UTM: </t>
    </r>
    <r>
      <rPr>
        <b/>
        <sz val="10"/>
        <rFont val="Arial"/>
        <family val="2"/>
      </rPr>
      <t xml:space="preserve"> Waypoint: K1</t>
    </r>
    <r>
      <rPr>
        <sz val="10"/>
        <rFont val="Arial"/>
        <family val="2"/>
      </rPr>
      <t xml:space="preserve">                                                                   </t>
    </r>
  </si>
  <si>
    <r>
      <t xml:space="preserve">Pasture: </t>
    </r>
    <r>
      <rPr>
        <b/>
        <sz val="10"/>
        <rFont val="Arial"/>
        <family val="2"/>
      </rPr>
      <t>Field 5</t>
    </r>
    <r>
      <rPr>
        <sz val="10"/>
        <rFont val="Arial"/>
        <family val="2"/>
      </rPr>
      <t xml:space="preserve">                                   </t>
    </r>
  </si>
  <si>
    <r>
      <t xml:space="preserve">Date: </t>
    </r>
    <r>
      <rPr>
        <b/>
        <sz val="10"/>
        <rFont val="Arial"/>
        <family val="2"/>
      </rPr>
      <t>06-11-08</t>
    </r>
    <r>
      <rPr>
        <sz val="10"/>
        <rFont val="Arial"/>
        <family val="2"/>
      </rPr>
      <t xml:space="preserve">   </t>
    </r>
    <r>
      <rPr>
        <b/>
        <sz val="10"/>
        <rFont val="Arial"/>
        <family val="2"/>
      </rPr>
      <t xml:space="preserve"> </t>
    </r>
    <r>
      <rPr>
        <sz val="10"/>
        <rFont val="Arial"/>
        <family val="2"/>
      </rPr>
      <t xml:space="preserve">   </t>
    </r>
  </si>
  <si>
    <r>
      <t xml:space="preserve">Ecological Site:  </t>
    </r>
    <r>
      <rPr>
        <b/>
        <sz val="8"/>
        <rFont val="Arial"/>
        <family val="2"/>
      </rPr>
      <t xml:space="preserve">FSG -- Guineagrass 35-40"p.z. </t>
    </r>
    <r>
      <rPr>
        <sz val="8"/>
        <rFont val="Arial"/>
        <family val="2"/>
      </rPr>
      <t xml:space="preserve">   </t>
    </r>
    <r>
      <rPr>
        <sz val="10"/>
        <rFont val="Arial"/>
        <family val="2"/>
      </rPr>
      <t xml:space="preserve">                                                    </t>
    </r>
  </si>
  <si>
    <r>
      <t xml:space="preserve">MLRA:   </t>
    </r>
    <r>
      <rPr>
        <b/>
        <sz val="10"/>
        <rFont val="Arial"/>
        <family val="2"/>
      </rPr>
      <t>158</t>
    </r>
    <r>
      <rPr>
        <sz val="10"/>
        <rFont val="Arial"/>
        <family val="2"/>
      </rPr>
      <t xml:space="preserve">                               </t>
    </r>
  </si>
  <si>
    <r>
      <t xml:space="preserve">Ranch: </t>
    </r>
    <r>
      <rPr>
        <b/>
        <sz val="10"/>
        <rFont val="Arial"/>
        <family val="2"/>
      </rPr>
      <t xml:space="preserve">Cows-R-Us    </t>
    </r>
    <r>
      <rPr>
        <sz val="10"/>
        <rFont val="Arial"/>
        <family val="2"/>
      </rPr>
      <t xml:space="preserve">                         </t>
    </r>
  </si>
  <si>
    <r>
      <t xml:space="preserve">PI-RANGE-7   Stubble Height (front) &amp; Live Plant Basal Gap (back) Worksheet        </t>
    </r>
    <r>
      <rPr>
        <b/>
        <sz val="12"/>
        <color indexed="10"/>
        <rFont val="Arial"/>
        <family val="2"/>
      </rPr>
      <t xml:space="preserve">EXAMPLE </t>
    </r>
    <r>
      <rPr>
        <b/>
        <sz val="9"/>
        <rFont val="Arial"/>
        <family val="2"/>
      </rPr>
      <t xml:space="preserve">             </t>
    </r>
  </si>
  <si>
    <t>juvenile guineagrass</t>
  </si>
  <si>
    <t>Combined all guinea to get % meeting 528 spec.</t>
  </si>
  <si>
    <t>mature guineagrass</t>
  </si>
  <si>
    <t>&gt; 10"</t>
  </si>
  <si>
    <t>8.1 to 10"</t>
  </si>
  <si>
    <t>6.1 to 8"</t>
  </si>
  <si>
    <t>3.1 to 6.0"</t>
  </si>
  <si>
    <t>1.1 to 3.0"</t>
  </si>
  <si>
    <r>
      <t xml:space="preserve">Record the current height of  </t>
    </r>
    <r>
      <rPr>
        <b/>
        <sz val="11"/>
        <color indexed="10"/>
        <rFont val="Arial"/>
        <family val="2"/>
      </rPr>
      <t>FORAGE species</t>
    </r>
    <r>
      <rPr>
        <b/>
        <sz val="11"/>
        <rFont val="Arial"/>
        <family val="2"/>
      </rPr>
      <t xml:space="preserve">  intercepted at 3-foot intervals                                         along the 100-ft long tape</t>
    </r>
  </si>
  <si>
    <t>Line 1 - 220-degrees;  Line 2 - 340-degrees;  Line 3 - 100-degrees.  All bearings on Magnetic North.</t>
  </si>
  <si>
    <t>Low-Mod</t>
  </si>
  <si>
    <t>LOW</t>
  </si>
  <si>
    <t>HIGH</t>
  </si>
  <si>
    <r>
      <t xml:space="preserve">Shrub:                           </t>
    </r>
    <r>
      <rPr>
        <b/>
        <sz val="8"/>
        <rFont val="Arial"/>
        <family val="2"/>
      </rPr>
      <t>--</t>
    </r>
  </si>
  <si>
    <r>
      <t xml:space="preserve">Forb:       </t>
    </r>
    <r>
      <rPr>
        <b/>
        <sz val="8"/>
        <rFont val="Arial"/>
        <family val="2"/>
      </rPr>
      <t xml:space="preserve"> --</t>
    </r>
  </si>
  <si>
    <r>
      <t xml:space="preserve">Grass:  </t>
    </r>
    <r>
      <rPr>
        <b/>
        <sz val="8"/>
        <rFont val="Arial"/>
        <family val="2"/>
      </rPr>
      <t>10-14</t>
    </r>
  </si>
  <si>
    <t>Avg Height of grasses, forbs &amp; shrubs (inch):</t>
  </si>
  <si>
    <t>One clipping due to homogeneity; 3848 #/ac; assumed 65% plant moisture.</t>
  </si>
  <si>
    <r>
      <t xml:space="preserve">General Desc: </t>
    </r>
    <r>
      <rPr>
        <b/>
        <sz val="7"/>
        <rFont val="Arial"/>
        <family val="2"/>
      </rPr>
      <t xml:space="preserve">At T-post, ran 3 100-ft transects to these bearings: 100, 220, 340-degrees Mag.North. </t>
    </r>
    <r>
      <rPr>
        <sz val="7"/>
        <rFont val="Arial"/>
        <family val="2"/>
      </rPr>
      <t xml:space="preserve"> </t>
    </r>
    <r>
      <rPr>
        <sz val="10"/>
        <rFont val="Arial"/>
        <family val="2"/>
      </rPr>
      <t xml:space="preserve">                                                               </t>
    </r>
  </si>
  <si>
    <r>
      <t xml:space="preserve">Key Area: </t>
    </r>
    <r>
      <rPr>
        <b/>
        <sz val="10"/>
        <rFont val="Arial"/>
        <family val="2"/>
      </rPr>
      <t>K-1</t>
    </r>
    <r>
      <rPr>
        <sz val="10"/>
        <rFont val="Arial"/>
        <family val="2"/>
      </rPr>
      <t xml:space="preserve">                          </t>
    </r>
  </si>
  <si>
    <r>
      <t xml:space="preserve">Precip: </t>
    </r>
    <r>
      <rPr>
        <b/>
        <sz val="10"/>
        <rFont val="Arial"/>
        <family val="2"/>
      </rPr>
      <t>35-40</t>
    </r>
    <r>
      <rPr>
        <sz val="10"/>
        <rFont val="Arial"/>
        <family val="2"/>
      </rPr>
      <t xml:space="preserve">              </t>
    </r>
  </si>
  <si>
    <r>
      <t xml:space="preserve">Elevation: </t>
    </r>
    <r>
      <rPr>
        <b/>
        <sz val="10"/>
        <rFont val="Arial"/>
        <family val="2"/>
      </rPr>
      <t>~90-ft</t>
    </r>
    <r>
      <rPr>
        <sz val="10"/>
        <rFont val="Arial"/>
        <family val="2"/>
      </rPr>
      <t xml:space="preserve">                </t>
    </r>
  </si>
  <si>
    <r>
      <t xml:space="preserve">Exposure:  </t>
    </r>
    <r>
      <rPr>
        <b/>
        <sz val="10"/>
        <rFont val="Arial"/>
        <family val="2"/>
      </rPr>
      <t>SW</t>
    </r>
    <r>
      <rPr>
        <sz val="10"/>
        <rFont val="Arial"/>
        <family val="2"/>
      </rPr>
      <t xml:space="preserve">                              </t>
    </r>
  </si>
  <si>
    <r>
      <t xml:space="preserve">Slope: </t>
    </r>
    <r>
      <rPr>
        <b/>
        <sz val="10"/>
        <rFont val="Arial"/>
        <family val="2"/>
      </rPr>
      <t>0-3%</t>
    </r>
    <r>
      <rPr>
        <sz val="10"/>
        <rFont val="Arial"/>
        <family val="2"/>
      </rPr>
      <t xml:space="preserve">                                       </t>
    </r>
  </si>
  <si>
    <r>
      <t xml:space="preserve">Date: </t>
    </r>
    <r>
      <rPr>
        <b/>
        <sz val="10"/>
        <rFont val="Arial"/>
        <family val="2"/>
      </rPr>
      <t>06-11-08</t>
    </r>
    <r>
      <rPr>
        <sz val="10"/>
        <rFont val="Arial"/>
        <family val="2"/>
      </rPr>
      <t xml:space="preserve">           </t>
    </r>
  </si>
  <si>
    <r>
      <t xml:space="preserve">Ecological Site:  </t>
    </r>
    <r>
      <rPr>
        <b/>
        <sz val="8"/>
        <rFont val="Arial"/>
        <family val="2"/>
      </rPr>
      <t>FSG -- Guineagrass 35-40"p.z.</t>
    </r>
    <r>
      <rPr>
        <sz val="8"/>
        <rFont val="Arial"/>
        <family val="2"/>
      </rPr>
      <t xml:space="preserve">                                                   </t>
    </r>
  </si>
  <si>
    <r>
      <t xml:space="preserve">MLRA:       </t>
    </r>
    <r>
      <rPr>
        <b/>
        <sz val="10"/>
        <rFont val="Arial"/>
        <family val="2"/>
      </rPr>
      <t xml:space="preserve">158 </t>
    </r>
    <r>
      <rPr>
        <sz val="10"/>
        <rFont val="Arial"/>
        <family val="2"/>
      </rPr>
      <t xml:space="preserve">                          </t>
    </r>
  </si>
  <si>
    <r>
      <t xml:space="preserve">PI-RANGE-7   Stubble Height (front) &amp; Live Plant Basal Gap (back) Worksheet     </t>
    </r>
    <r>
      <rPr>
        <b/>
        <sz val="12"/>
        <color indexed="10"/>
        <rFont val="Arial"/>
        <family val="2"/>
      </rPr>
      <t>EXAMPLE</t>
    </r>
    <r>
      <rPr>
        <sz val="9"/>
        <rFont val="Arial"/>
        <family val="2"/>
      </rPr>
      <t xml:space="preserve">        </t>
    </r>
  </si>
  <si>
    <r>
      <t>Second 100-Foot Transect:</t>
    </r>
    <r>
      <rPr>
        <sz val="8"/>
        <color indexed="10"/>
        <rFont val="Arial"/>
        <family val="2"/>
      </rPr>
      <t xml:space="preserve"> </t>
    </r>
  </si>
  <si>
    <r>
      <t xml:space="preserve">First 100-Foot Transect: </t>
    </r>
    <r>
      <rPr>
        <sz val="8"/>
        <color indexed="10"/>
        <rFont val="Arial"/>
        <family val="2"/>
      </rPr>
      <t xml:space="preserve"> </t>
    </r>
  </si>
  <si>
    <r>
      <t xml:space="preserve">DATUM: </t>
    </r>
    <r>
      <rPr>
        <b/>
        <sz val="10"/>
        <rFont val="Arial"/>
        <family val="2"/>
      </rPr>
      <t>NAD83</t>
    </r>
    <r>
      <rPr>
        <sz val="10"/>
        <rFont val="Arial"/>
        <family val="2"/>
      </rPr>
      <t xml:space="preserve">             UTM: </t>
    </r>
    <r>
      <rPr>
        <b/>
        <sz val="10"/>
        <rFont val="Arial"/>
        <family val="2"/>
      </rPr>
      <t xml:space="preserve">  </t>
    </r>
    <r>
      <rPr>
        <sz val="10"/>
        <rFont val="Arial"/>
        <family val="2"/>
      </rPr>
      <t xml:space="preserve">                                                                 </t>
    </r>
  </si>
  <si>
    <r>
      <t xml:space="preserve">Pasture: </t>
    </r>
    <r>
      <rPr>
        <b/>
        <sz val="10"/>
        <rFont val="Arial"/>
        <family val="2"/>
      </rPr>
      <t xml:space="preserve"> </t>
    </r>
    <r>
      <rPr>
        <sz val="10"/>
        <rFont val="Arial"/>
        <family val="2"/>
      </rPr>
      <t xml:space="preserve">                                  </t>
    </r>
  </si>
  <si>
    <r>
      <t xml:space="preserve">Date: </t>
    </r>
    <r>
      <rPr>
        <b/>
        <sz val="10"/>
        <rFont val="Arial"/>
        <family val="2"/>
      </rPr>
      <t xml:space="preserve"> </t>
    </r>
    <r>
      <rPr>
        <sz val="10"/>
        <rFont val="Arial"/>
        <family val="2"/>
      </rPr>
      <t xml:space="preserve">   </t>
    </r>
    <r>
      <rPr>
        <b/>
        <sz val="10"/>
        <rFont val="Arial"/>
        <family val="2"/>
      </rPr>
      <t xml:space="preserve"> </t>
    </r>
    <r>
      <rPr>
        <sz val="10"/>
        <rFont val="Arial"/>
        <family val="2"/>
      </rPr>
      <t xml:space="preserve">   </t>
    </r>
  </si>
  <si>
    <r>
      <t xml:space="preserve">Ecological Site:  </t>
    </r>
    <r>
      <rPr>
        <b/>
        <sz val="8"/>
        <rFont val="Arial"/>
        <family val="2"/>
      </rPr>
      <t xml:space="preserve"> </t>
    </r>
    <r>
      <rPr>
        <sz val="8"/>
        <rFont val="Arial"/>
        <family val="2"/>
      </rPr>
      <t xml:space="preserve">   </t>
    </r>
    <r>
      <rPr>
        <sz val="10"/>
        <rFont val="Arial"/>
        <family val="2"/>
      </rPr>
      <t xml:space="preserve">                                                    </t>
    </r>
  </si>
  <si>
    <r>
      <t xml:space="preserve">MLRA:   </t>
    </r>
    <r>
      <rPr>
        <b/>
        <sz val="10"/>
        <rFont val="Arial"/>
        <family val="2"/>
      </rPr>
      <t xml:space="preserve"> </t>
    </r>
    <r>
      <rPr>
        <sz val="10"/>
        <rFont val="Arial"/>
        <family val="2"/>
      </rPr>
      <t xml:space="preserve">                               </t>
    </r>
  </si>
  <si>
    <r>
      <t xml:space="preserve">Ranch: </t>
    </r>
    <r>
      <rPr>
        <b/>
        <sz val="10"/>
        <rFont val="Arial"/>
        <family val="2"/>
      </rPr>
      <t xml:space="preserve">    </t>
    </r>
    <r>
      <rPr>
        <sz val="10"/>
        <rFont val="Arial"/>
        <family val="2"/>
      </rPr>
      <t xml:space="preserve">                         </t>
    </r>
  </si>
  <si>
    <t xml:space="preserve">PI-RANGE-7   Stubble Height (front) &amp; Live Plant Basal Gap (back) Worksheet    </t>
  </si>
  <si>
    <t xml:space="preserve">Shrub:                           </t>
  </si>
  <si>
    <r>
      <t xml:space="preserve">Forb:       </t>
    </r>
    <r>
      <rPr>
        <b/>
        <sz val="8"/>
        <rFont val="Arial"/>
        <family val="2"/>
      </rPr>
      <t xml:space="preserve"> </t>
    </r>
  </si>
  <si>
    <r>
      <t xml:space="preserve">Grass:  </t>
    </r>
    <r>
      <rPr>
        <b/>
        <sz val="8"/>
        <rFont val="Arial"/>
        <family val="2"/>
      </rPr>
      <t xml:space="preserve"> </t>
    </r>
  </si>
  <si>
    <r>
      <t xml:space="preserve">General Desc: </t>
    </r>
    <r>
      <rPr>
        <b/>
        <sz val="7"/>
        <rFont val="Arial"/>
        <family val="2"/>
      </rPr>
      <t xml:space="preserve">  </t>
    </r>
    <r>
      <rPr>
        <sz val="7"/>
        <rFont val="Arial"/>
        <family val="2"/>
      </rPr>
      <t xml:space="preserve"> </t>
    </r>
    <r>
      <rPr>
        <sz val="10"/>
        <rFont val="Arial"/>
        <family val="2"/>
      </rPr>
      <t xml:space="preserve">                                                               </t>
    </r>
  </si>
  <si>
    <r>
      <t xml:space="preserve">Key Area: </t>
    </r>
    <r>
      <rPr>
        <b/>
        <sz val="10"/>
        <rFont val="Arial"/>
        <family val="2"/>
      </rPr>
      <t xml:space="preserve"> </t>
    </r>
    <r>
      <rPr>
        <sz val="10"/>
        <rFont val="Arial"/>
        <family val="2"/>
      </rPr>
      <t xml:space="preserve">                       </t>
    </r>
  </si>
  <si>
    <r>
      <t xml:space="preserve">Precip: </t>
    </r>
    <r>
      <rPr>
        <b/>
        <sz val="10"/>
        <rFont val="Arial"/>
        <family val="2"/>
      </rPr>
      <t xml:space="preserve"> </t>
    </r>
    <r>
      <rPr>
        <sz val="10"/>
        <rFont val="Arial"/>
        <family val="2"/>
      </rPr>
      <t xml:space="preserve">             </t>
    </r>
  </si>
  <si>
    <r>
      <t xml:space="preserve">Elevation: </t>
    </r>
    <r>
      <rPr>
        <b/>
        <sz val="10"/>
        <rFont val="Arial"/>
        <family val="2"/>
      </rPr>
      <t xml:space="preserve"> </t>
    </r>
    <r>
      <rPr>
        <sz val="10"/>
        <rFont val="Arial"/>
        <family val="2"/>
      </rPr>
      <t xml:space="preserve">                </t>
    </r>
  </si>
  <si>
    <r>
      <t xml:space="preserve">Exposure:  </t>
    </r>
    <r>
      <rPr>
        <b/>
        <sz val="10"/>
        <rFont val="Arial"/>
        <family val="2"/>
      </rPr>
      <t xml:space="preserve"> </t>
    </r>
    <r>
      <rPr>
        <sz val="10"/>
        <rFont val="Arial"/>
        <family val="2"/>
      </rPr>
      <t xml:space="preserve">                              </t>
    </r>
  </si>
  <si>
    <r>
      <t xml:space="preserve">Slope: </t>
    </r>
    <r>
      <rPr>
        <b/>
        <sz val="10"/>
        <rFont val="Arial"/>
        <family val="2"/>
      </rPr>
      <t xml:space="preserve"> </t>
    </r>
    <r>
      <rPr>
        <sz val="10"/>
        <rFont val="Arial"/>
        <family val="2"/>
      </rPr>
      <t xml:space="preserve">                                       </t>
    </r>
  </si>
  <si>
    <r>
      <t xml:space="preserve">DATUM: </t>
    </r>
    <r>
      <rPr>
        <b/>
        <sz val="10"/>
        <rFont val="Arial"/>
        <family val="2"/>
      </rPr>
      <t>NAD83</t>
    </r>
    <r>
      <rPr>
        <sz val="10"/>
        <rFont val="Arial"/>
        <family val="2"/>
      </rPr>
      <t xml:space="preserve">             UTM: </t>
    </r>
    <r>
      <rPr>
        <b/>
        <sz val="10"/>
        <rFont val="Arial"/>
        <family val="2"/>
      </rPr>
      <t xml:space="preserve">  </t>
    </r>
    <r>
      <rPr>
        <sz val="10"/>
        <rFont val="Arial"/>
        <family val="2"/>
      </rPr>
      <t xml:space="preserve">                                                                   </t>
    </r>
  </si>
  <si>
    <r>
      <t xml:space="preserve">Pasture: </t>
    </r>
    <r>
      <rPr>
        <b/>
        <sz val="10"/>
        <rFont val="Arial"/>
        <family val="2"/>
      </rPr>
      <t xml:space="preserve"> </t>
    </r>
    <r>
      <rPr>
        <sz val="10"/>
        <rFont val="Arial"/>
        <family val="2"/>
      </rPr>
      <t xml:space="preserve">                                 </t>
    </r>
  </si>
  <si>
    <r>
      <t xml:space="preserve">Date: </t>
    </r>
    <r>
      <rPr>
        <b/>
        <sz val="10"/>
        <rFont val="Arial"/>
        <family val="2"/>
      </rPr>
      <t xml:space="preserve"> </t>
    </r>
    <r>
      <rPr>
        <sz val="10"/>
        <rFont val="Arial"/>
        <family val="2"/>
      </rPr>
      <t xml:space="preserve">          </t>
    </r>
  </si>
  <si>
    <r>
      <t xml:space="preserve">Ecological Site:  </t>
    </r>
    <r>
      <rPr>
        <b/>
        <sz val="8"/>
        <rFont val="Arial"/>
        <family val="2"/>
      </rPr>
      <t xml:space="preserve"> </t>
    </r>
    <r>
      <rPr>
        <sz val="8"/>
        <rFont val="Arial"/>
        <family val="2"/>
      </rPr>
      <t xml:space="preserve">                                                  </t>
    </r>
  </si>
  <si>
    <r>
      <t xml:space="preserve">MLRA:       </t>
    </r>
    <r>
      <rPr>
        <b/>
        <sz val="10"/>
        <rFont val="Arial"/>
        <family val="2"/>
      </rPr>
      <t xml:space="preserve"> </t>
    </r>
    <r>
      <rPr>
        <sz val="10"/>
        <rFont val="Arial"/>
        <family val="2"/>
      </rPr>
      <t xml:space="preserve">                        </t>
    </r>
  </si>
  <si>
    <r>
      <t xml:space="preserve">Ranch: </t>
    </r>
    <r>
      <rPr>
        <b/>
        <sz val="10"/>
        <rFont val="Arial"/>
        <family val="2"/>
      </rPr>
      <t xml:space="preserve">     </t>
    </r>
    <r>
      <rPr>
        <sz val="10"/>
        <rFont val="Arial"/>
        <family val="2"/>
      </rPr>
      <t xml:space="preserve">                         </t>
    </r>
  </si>
  <si>
    <t xml:space="preserve">PI-RANGE-7   Stubble Height (front) &amp; Live Plant Basal Gap (back) Worksheet       </t>
  </si>
  <si>
    <t>(J) Date Check Conducted</t>
  </si>
  <si>
    <t>EWS; JK, KN, DC, LJM</t>
  </si>
  <si>
    <t xml:space="preserve"> (I) Initials of Planner Who Conducted Application Check</t>
  </si>
  <si>
    <r>
      <t>Notes:</t>
    </r>
    <r>
      <rPr>
        <sz val="10"/>
        <rFont val="Arial"/>
        <family val="2"/>
      </rPr>
      <t xml:space="preserve">  </t>
    </r>
    <r>
      <rPr>
        <sz val="10"/>
        <color indexed="10"/>
        <rFont val="Arial"/>
        <family val="2"/>
      </rPr>
      <t xml:space="preserve">Measured stubble height and basal gap on one 300-foot transect; July 20, 2009.  90% of hits were </t>
    </r>
    <r>
      <rPr>
        <u/>
        <sz val="10"/>
        <color indexed="10"/>
        <rFont val="Arial"/>
        <family val="2"/>
      </rPr>
      <t>&gt;</t>
    </r>
    <r>
      <rPr>
        <sz val="10"/>
        <color indexed="10"/>
        <rFont val="Arial"/>
        <family val="2"/>
      </rPr>
      <t>8-inch required stubble height.   See datasheet (PI-Range-7) attached; did not measure basal gap or species composition by frequency.</t>
    </r>
  </si>
  <si>
    <t>90% of plants were &gt;= 10".</t>
  </si>
  <si>
    <t>&gt;= 8"</t>
  </si>
  <si>
    <t>guineagrass</t>
  </si>
  <si>
    <t>K-1 on map.</t>
  </si>
  <si>
    <t>rest-rotation, yearlong</t>
  </si>
  <si>
    <t>Cattle, yearlings</t>
  </si>
  <si>
    <t>Bull Paddock 2</t>
  </si>
  <si>
    <t>Percent Use (%)</t>
  </si>
  <si>
    <t>Year:</t>
  </si>
  <si>
    <t>Stubble Height (inch)</t>
  </si>
  <si>
    <t>inches</t>
  </si>
  <si>
    <t>Actual Amount Remaining (specify units below)</t>
  </si>
  <si>
    <t>Remove Grazing Pressure When...
(circle category used):</t>
  </si>
  <si>
    <t>Key Plant(s) for Judging Prescribed Grazing</t>
  </si>
  <si>
    <t>Location of Key Grazing Area</t>
  </si>
  <si>
    <t>Season of Use</t>
  </si>
  <si>
    <t>Kind of Grazing Animal</t>
  </si>
  <si>
    <t>Size (acres)</t>
  </si>
  <si>
    <t>Management Unit Name or No.</t>
  </si>
  <si>
    <t>(H)</t>
  </si>
  <si>
    <t>(G)</t>
  </si>
  <si>
    <t>(F)</t>
  </si>
  <si>
    <t>(E)</t>
  </si>
  <si>
    <t>(D)</t>
  </si>
  <si>
    <t>(C)</t>
  </si>
  <si>
    <t>(B)</t>
  </si>
  <si>
    <t>(A)</t>
  </si>
  <si>
    <t>Planner Name:</t>
  </si>
  <si>
    <t>Joe Rancher</t>
  </si>
  <si>
    <t>Client/Business Name:</t>
  </si>
  <si>
    <t>EXAMPLE</t>
  </si>
  <si>
    <t>PI-NRCS-414   Prescribed Grazing (528) Certification Worksheet</t>
  </si>
  <si>
    <r>
      <t>(J) Date Check Conducted:</t>
    </r>
    <r>
      <rPr>
        <sz val="10"/>
        <rFont val="Arial"/>
        <family val="2"/>
      </rPr>
      <t xml:space="preserve">  Enter the date when the check was conducted.</t>
    </r>
  </si>
  <si>
    <r>
      <t>(I) Initials of Planner Who Conducted Application Check:</t>
    </r>
    <r>
      <rPr>
        <sz val="10"/>
        <rFont val="Arial"/>
        <family val="2"/>
      </rPr>
      <t xml:space="preserve">  The planner who conducted the certification check will enter their initials.  If the individual does not have appropriate Job Approval Authority (JAA), then another planner with the correct JAA will also initial the certification.</t>
    </r>
  </si>
  <si>
    <r>
      <t>(H) Actual Amount Remaining:</t>
    </r>
    <r>
      <rPr>
        <sz val="10"/>
        <rFont val="Arial"/>
        <family val="2"/>
      </rPr>
      <t xml:space="preserve">  In the column heading, specify units to be used: either actual amount remaining (to be left ungrazed) in inches for stubble height, or % for percent utilization.  Also, enter calendar years.  In the table, if actual amount remaining in % being used, enter the percent by air-dry weight (or pounds remaining) of the key plant species in each grazing unit.  </t>
    </r>
  </si>
  <si>
    <r>
      <t xml:space="preserve">(G) Remove Grazing Pressure When: </t>
    </r>
    <r>
      <rPr>
        <sz val="10"/>
        <rFont val="Arial"/>
        <family val="2"/>
      </rPr>
      <t xml:space="preserve"> In the column heading, circle the category to be used to determine when livestock should be removed: either minimum stubble height (inches); or maximum percent utilization (%) on the key species.  Then, for each mgmt unit (A) and key plant (F) listed, enter the appropriate value at which grazing pressure must be removed.  For example, if the key plant is guineagrass then grazing pressure should be removed when stubble height is 8-10 inches.  Refer to the 528-Prescribed Grazing specification for additional information by species. </t>
    </r>
  </si>
  <si>
    <r>
      <t>(F) Key Plant(s) for Judging Prescribed Grazing:</t>
    </r>
    <r>
      <rPr>
        <sz val="10"/>
        <rFont val="Arial"/>
        <family val="2"/>
      </rPr>
      <t xml:space="preserve">  Enter the key plant species for the key grazing area in each grazing unit by common name.  This key species is one in which the planner and the client cooperatively decide to monitor and evaluate for prescribed grazing certification.  There may be occasion when you will select two species, in this case enter the names of both species.    </t>
    </r>
  </si>
  <si>
    <r>
      <t>(E) Location of Key Grazing Area:</t>
    </r>
    <r>
      <rPr>
        <sz val="10"/>
        <rFont val="Arial"/>
        <family val="2"/>
      </rPr>
      <t xml:space="preserve">  Enter a description of the key grazing area in each grazing unit.  Include a GPS Waypoint or the actual UTM coordinates.  </t>
    </r>
  </si>
  <si>
    <r>
      <t>(D) Season of Use:</t>
    </r>
    <r>
      <rPr>
        <sz val="10"/>
        <rFont val="Arial"/>
        <family val="2"/>
      </rPr>
      <t xml:space="preserve">  Enter the season that the grazing unit will be grazed such as: spring, summer, fall, or winter.  Or by months: Sept.– Oct., Nov. – Mar., May – Jul. </t>
    </r>
  </si>
  <si>
    <r>
      <t>(C) Kind of Grazing Animal:</t>
    </r>
    <r>
      <rPr>
        <sz val="10"/>
        <rFont val="Arial"/>
        <family val="2"/>
      </rPr>
      <t xml:space="preserve">  Enter the kind, and if applicable, class of livestock to be grazed such as: dry cows, cow/calf, ewes and lambs, yearling cattle, 2-year steers, yearling sheep, goats, horses, etc.</t>
    </r>
  </si>
  <si>
    <r>
      <t>(B) Size (acres)</t>
    </r>
    <r>
      <rPr>
        <sz val="10"/>
        <rFont val="Arial"/>
        <family val="2"/>
      </rPr>
      <t xml:space="preserve">:  Enter the size of the management unit in acres.  </t>
    </r>
  </si>
  <si>
    <r>
      <t>(A) Management Unit Name or No.</t>
    </r>
    <r>
      <rPr>
        <sz val="10"/>
        <rFont val="Arial"/>
        <family val="2"/>
      </rPr>
      <t xml:space="preserve">:  Enter the management unit name or number.  </t>
    </r>
  </si>
  <si>
    <r>
      <t>(A-H)</t>
    </r>
    <r>
      <rPr>
        <sz val="10"/>
        <rFont val="Arial"/>
        <family val="2"/>
      </rPr>
      <t xml:space="preserve">: The first section of the worksheet is meant to be completed by the planner who initially worked with the client during the planning stages.  Practice certification may be conducted by the initial planner or another planner with adequate job approval authority. </t>
    </r>
  </si>
  <si>
    <r>
      <t>Top Section:</t>
    </r>
    <r>
      <rPr>
        <sz val="10"/>
        <rFont val="Arial"/>
        <family val="2"/>
      </rPr>
      <t xml:space="preserve"> Fill-in information as requested.</t>
    </r>
  </si>
  <si>
    <t>The Prescribed Grazing Specification includes information about judging proper grazing use levels.</t>
  </si>
  <si>
    <r>
      <t>PI-NRCS-414 Prescribed Grazing Certification Worksheet:</t>
    </r>
    <r>
      <rPr>
        <sz val="10"/>
        <rFont val="Arial"/>
        <family val="2"/>
      </rPr>
      <t xml:space="preserve">  This worksheet will be used to assess whether the grazing strategy is meeting the client and NRCS objectives.  It will also be used for practice certification.  Grazing management units that are determined not to have met prescribed grazing standards will not be reported as successfully applied 528-Prescribed Grazing.  The dates when prescribed grazing certification checks should be conducted on each management unit are specified on the 528-Prescribed Grazing Jobsheet.  Tables 1, 2, and 3 from the 528-Prescribed Grazing Specification will be used to complete this worksheet.</t>
    </r>
  </si>
  <si>
    <t>In the Pacific Islands Area, the Monitoring Plan shall include use of the PI-NRCS-414 Prescribed Grazing Certification Worksheet or the PI-NRCS-416 Browse Resource Evaluation Worksheet, as appropriate.</t>
  </si>
  <si>
    <t>MONITORING PLAN:  A Monitoring Plan shall be developed with appropriate records to assess whether the grazing strategy is meeting objectives.  Identify the key areas and key plants that the manager should evaluate in making grazing management decisions.</t>
  </si>
  <si>
    <t>Instructions for PI-NRCS-414   Prescribed Grazing Certification Worksheet</t>
  </si>
  <si>
    <t>Attach check-out notes and monitoring worksheets such as PI-Range-6 or PI-Range-7 and Photo Monitoring</t>
  </si>
  <si>
    <t>* The practice has been installed in accordance with this Jobsheet.</t>
  </si>
  <si>
    <t>Year 3 Implementation*</t>
  </si>
  <si>
    <t>Year 2 Implementation*</t>
  </si>
  <si>
    <t>Year 1 Implementation*</t>
  </si>
  <si>
    <t>Practice Installation Certification and Approval:</t>
  </si>
  <si>
    <t xml:space="preserve"> (I) Initials of Planner Who Conducted Certification</t>
  </si>
  <si>
    <r>
      <t>Notes:</t>
    </r>
    <r>
      <rPr>
        <sz val="10"/>
        <rFont val="Arial"/>
        <family val="2"/>
      </rPr>
      <t xml:space="preserve">  </t>
    </r>
    <r>
      <rPr>
        <sz val="10"/>
        <color indexed="10"/>
        <rFont val="Arial"/>
        <family val="2"/>
      </rPr>
      <t/>
    </r>
  </si>
  <si>
    <t>inches or percent</t>
  </si>
  <si>
    <t>(Instructions for completing worksheet on page 2)</t>
  </si>
  <si>
    <r>
      <t xml:space="preserve">Utilization of Current Year’s Growth: </t>
    </r>
    <r>
      <rPr>
        <sz val="10"/>
        <rFont val="Arial"/>
        <family val="2"/>
      </rPr>
      <t>This section is used to record the actual degree of use on key species in the same area over a period of years.  Browse use is usually determined sometime between late fall and late winter.  Degree of use is expressed as the percentage, by weight, of the current year’s twig and leaf production within reach of browsing animals that has been consumed.  Use is most easily estimated by comparing accessible twigs to twigs which are inaccessible to browsing animals.  Determinations should be made by observing many twigs on a number of different plants.  Current year’s twig growth is distinguished from older twigs by color, texture, and size.</t>
    </r>
  </si>
  <si>
    <t>Few or no seedlings or young plants are present; population is either declining or stagnated with mature plants.</t>
  </si>
  <si>
    <t>Inadequate</t>
  </si>
  <si>
    <t>Sufficient seedlings and young plants are present to approximately maintain the appropriate population status of the species in the community; plants that are decadent or dying are being replaced by new plants.</t>
  </si>
  <si>
    <t>Adequate</t>
  </si>
  <si>
    <t xml:space="preserve">The population of species is increasing in the community; more young plants are present than are old plants. </t>
  </si>
  <si>
    <t>Abundant</t>
  </si>
  <si>
    <r>
      <t xml:space="preserve">Reproduction: </t>
    </r>
    <r>
      <rPr>
        <sz val="10"/>
        <rFont val="Arial"/>
        <family val="2"/>
      </rPr>
      <t>A reproduction evaluation is made to determine the future potential of a species in the community.  The presence of young seedlings is only one measure of reproduction.  The survival of new plants for the first 1 to 5 years is often the limiting factor, even though new seedlings or root sprouts may be present in some abundance in some years.  A good distribution of various age plants from young to fully mature is a better indicator of successful reproduction.</t>
    </r>
  </si>
  <si>
    <t>Browse trend is judged as upward, stable (or not apparent), or downward based upon the preponderance of entries in the shaded boxes.</t>
  </si>
  <si>
    <t>Shorter plants are very compact or have a stunted appearance; may be characterized by very short twigs, stubby branches, small leaves, low production or excessive number of dead branches.  On taller plants, a browse line is strikingly evident; there is little or no production on twigs within reach of animals; most lower branches are absent.</t>
  </si>
  <si>
    <t>Severe</t>
  </si>
  <si>
    <t>On shorter plants, most recent year’s twigs have been browsed, resulting in branching and rebranching from lateral buds; growth form is somewhat compact.  On taller plants, there is visible thinning of growth up to browsing height; lower branches and twigs are considerably less productive than those beyond reach of the animals.</t>
  </si>
  <si>
    <t>Moderate</t>
  </si>
  <si>
    <t xml:space="preserve">On shorter plants, there is little or no evidence of hedging.  On taller plants, there is little or no reduction of lower growth.  Production of lower branches and twigs is similar to those above the reach of animals.  </t>
  </si>
  <si>
    <t>Not Evident</t>
  </si>
  <si>
    <r>
      <t xml:space="preserve">Hedging or Browse Line: </t>
    </r>
    <r>
      <rPr>
        <sz val="10"/>
        <rFont val="Arial"/>
        <family val="2"/>
      </rPr>
      <t>Hedging is evaluated on short shrubs which are entirely or mostly within reach of browsing animals.  Browse line evaluated on taller shrubs and trees where a portion of the plant is above browsing height.</t>
    </r>
  </si>
  <si>
    <r>
      <t xml:space="preserve">Browse Trend </t>
    </r>
    <r>
      <rPr>
        <sz val="10"/>
        <rFont val="Arial"/>
        <family val="2"/>
      </rPr>
      <t>evaluates the health and vigor of the browse resource based on signs of past use and on reproduction.  Hedging and browse lines are distinctive growth forms that occur on shrubs or trees subjected to long term heavy use.  After a thorough examination of the selected species in the area, determine the level of hedging or browse line and status of reproduction and place a checkmark or X in the appropriate block as defined below.</t>
    </r>
  </si>
  <si>
    <t>Browse Trend</t>
  </si>
  <si>
    <t>Browse composition is judged as good, fair, or poor based on the preponderance of entries in the shaded boxes.  For example, if there were four entries in the fair blocks, one in the good blocks, and two in the poor blocks, the overall browse composition would be judged to be fair.</t>
  </si>
  <si>
    <t>Insignificant amounts of the species are present and may be difficult to find; it usually makes up less than 1% canopy.</t>
  </si>
  <si>
    <t>Scarce</t>
  </si>
  <si>
    <t>The species is easily found, but is not present in abundance; it usually makes up 1-5% canopy.</t>
  </si>
  <si>
    <t>Common</t>
  </si>
  <si>
    <t>The species dominates or characterizes the area observed; it makes up greater than 5% canopy and often greater than 20%.</t>
  </si>
  <si>
    <r>
      <t xml:space="preserve">Occurrence: </t>
    </r>
    <r>
      <rPr>
        <sz val="10"/>
        <rFont val="Arial"/>
        <family val="2"/>
      </rPr>
      <t>After a thorough observation of the area, determine the occurrence of each listed species and place a checkmark or an X in the appropriate block as defined.</t>
    </r>
  </si>
  <si>
    <r>
      <t xml:space="preserve">Proper use of preferred and desirable </t>
    </r>
    <r>
      <rPr>
        <u/>
        <sz val="10"/>
        <rFont val="Arial"/>
        <family val="2"/>
      </rPr>
      <t>introduced</t>
    </r>
    <r>
      <rPr>
        <sz val="10"/>
        <rFont val="Arial"/>
        <family val="2"/>
      </rPr>
      <t xml:space="preserve"> (non-native) browse species can be recorded, if utilization of current year’s growth of an identified key browse species is 50% or less by air-dry weight during the major plant growth period.  Or 60-65% or less during dormant or slower plant growth periods.  Examples of preferred and desirable introduced browse species include koa haole (</t>
    </r>
    <r>
      <rPr>
        <i/>
        <sz val="10"/>
        <rFont val="Arial"/>
        <family val="2"/>
      </rPr>
      <t>Leucaena leucocephala</t>
    </r>
    <r>
      <rPr>
        <sz val="10"/>
        <rFont val="Arial"/>
        <family val="2"/>
      </rPr>
      <t>), desmanthus (</t>
    </r>
    <r>
      <rPr>
        <i/>
        <sz val="10"/>
        <rFont val="Arial"/>
        <family val="2"/>
      </rPr>
      <t>Desmanthus</t>
    </r>
    <r>
      <rPr>
        <sz val="10"/>
        <rFont val="Arial"/>
        <family val="2"/>
      </rPr>
      <t xml:space="preserve"> spp), and bush indigo (</t>
    </r>
    <r>
      <rPr>
        <i/>
        <sz val="10"/>
        <rFont val="Arial"/>
        <family val="2"/>
      </rPr>
      <t>Indigofera suffruticosa</t>
    </r>
    <r>
      <rPr>
        <sz val="10"/>
        <rFont val="Arial"/>
        <family val="2"/>
      </rPr>
      <t>).</t>
    </r>
  </si>
  <si>
    <r>
      <t>Livestock use of native trees and shrubs is not recommended by NRCS.</t>
    </r>
    <r>
      <rPr>
        <sz val="10"/>
        <rFont val="Arial"/>
        <family val="2"/>
      </rPr>
      <t xml:space="preserve">  Examples of preferred and desirable native browse species that should not be utilized by livestock include, but are not limited to, koa (</t>
    </r>
    <r>
      <rPr>
        <i/>
        <sz val="10"/>
        <rFont val="Arial"/>
        <family val="2"/>
      </rPr>
      <t>Acacia koa</t>
    </r>
    <r>
      <rPr>
        <sz val="10"/>
        <rFont val="Arial"/>
        <family val="2"/>
      </rPr>
      <t>), koaia (</t>
    </r>
    <r>
      <rPr>
        <i/>
        <sz val="10"/>
        <rFont val="Arial"/>
        <family val="2"/>
      </rPr>
      <t>Acacia koaia</t>
    </r>
    <r>
      <rPr>
        <sz val="10"/>
        <rFont val="Arial"/>
        <family val="2"/>
      </rPr>
      <t>), mamane (</t>
    </r>
    <r>
      <rPr>
        <i/>
        <sz val="10"/>
        <rFont val="Arial"/>
        <family val="2"/>
      </rPr>
      <t>Sophora chrysophylla</t>
    </r>
    <r>
      <rPr>
        <sz val="10"/>
        <rFont val="Arial"/>
        <family val="2"/>
      </rPr>
      <t>), 'ulei (</t>
    </r>
    <r>
      <rPr>
        <i/>
        <sz val="10"/>
        <rFont val="Arial"/>
        <family val="2"/>
      </rPr>
      <t>Osteomeles anthyllidifolia</t>
    </r>
    <r>
      <rPr>
        <sz val="10"/>
        <rFont val="Arial"/>
        <family val="2"/>
      </rPr>
      <t>), and sandalwood (</t>
    </r>
    <r>
      <rPr>
        <i/>
        <sz val="10"/>
        <rFont val="Arial"/>
        <family val="2"/>
      </rPr>
      <t>Santalum</t>
    </r>
    <r>
      <rPr>
        <sz val="10"/>
        <rFont val="Arial"/>
        <family val="2"/>
      </rPr>
      <t xml:space="preserve"> spp).  It is recognized that livestock may incidentally browse a'ali'i (</t>
    </r>
    <r>
      <rPr>
        <i/>
        <sz val="10"/>
        <rFont val="Arial"/>
        <family val="2"/>
      </rPr>
      <t>Dodonea viscosa</t>
    </r>
    <r>
      <rPr>
        <sz val="10"/>
        <rFont val="Arial"/>
        <family val="2"/>
      </rPr>
      <t>), aweoweo (</t>
    </r>
    <r>
      <rPr>
        <i/>
        <sz val="10"/>
        <rFont val="Arial"/>
        <family val="2"/>
      </rPr>
      <t>Chenopodium oahuense</t>
    </r>
    <r>
      <rPr>
        <sz val="10"/>
        <rFont val="Arial"/>
        <family val="2"/>
      </rPr>
      <t>), and other low stature native woody species, but the grazing plan will allow for protection of those species during planned grazing events.</t>
    </r>
  </si>
  <si>
    <r>
      <t xml:space="preserve">Browse Composition </t>
    </r>
    <r>
      <rPr>
        <sz val="10"/>
        <rFont val="Arial"/>
        <family val="2"/>
      </rPr>
      <t>evaluates the occurrence of browse species according to preference categories.  Species are designated as preferred, desirable, or non-preferred based on the species of browsing animal and the appropriate ecological site descriptions.</t>
    </r>
  </si>
  <si>
    <t>Browse Composition</t>
  </si>
  <si>
    <t xml:space="preserve">The PI-NRCS-416 Browse Resource Evaluation Worksheet assists managers in evaluating the composition and trend of the browse resource, and to document the actual use of key browse species over time.  Browse species include most shrubs and trees.  This information may be used to identify problems, formulate alternatives, and measure progress in attaining browse management goals.  A key browse plant and key browsing area shall be determined for each grazing management unit, when applicable.  The dates when browse resource evaluations should be conducted on each management unit are specified on the 528-Prescribed Grazing Jobsheet. </t>
  </si>
  <si>
    <t>In the Pacific Islands Area, the Monitoring Plan will include use of the PI-NRCS-414 Prescribed Grazing Certification Worksheet, or the PI-NRCS-416 Browse Resource Evaluation Worksheet, as appropriate.</t>
  </si>
  <si>
    <t>MONITORING PLAN:  A Monitoring Plan will be developed with appropriate records to assess whether the grazing strategy is meeting objectives.  Identify the key areas and key plants that the manager should evaluate in making grazing management decisions.</t>
  </si>
  <si>
    <t>Instructions for PI-NRCS-416  Browse Resource Evaluation Worksheet</t>
  </si>
  <si>
    <t>Date Observed (enter above)</t>
  </si>
  <si>
    <t>Year(enter below)</t>
  </si>
  <si>
    <t>Actual Use Percent</t>
  </si>
  <si>
    <t>Planned Use Percent</t>
  </si>
  <si>
    <t>Key Species</t>
  </si>
  <si>
    <t>Utilization of Current Year's Growth</t>
  </si>
  <si>
    <t xml:space="preserve">  Poor</t>
  </si>
  <si>
    <t xml:space="preserve">  Fair</t>
  </si>
  <si>
    <t xml:space="preserve">  Good</t>
  </si>
  <si>
    <t>Judge Browse Composition and Browse Trend based on majority of evidence.</t>
  </si>
  <si>
    <t>Non-Preferred Species</t>
  </si>
  <si>
    <t>Desirable Species</t>
  </si>
  <si>
    <t>Preferred Species</t>
  </si>
  <si>
    <t>Not Adequate</t>
  </si>
  <si>
    <t>Reproduction</t>
  </si>
  <si>
    <t>Hedging or Browse Line</t>
  </si>
  <si>
    <t>Occurrence</t>
  </si>
  <si>
    <t>Enter Date of Initial Evaluation Below:</t>
  </si>
  <si>
    <t>Goals for Browse Resource:</t>
  </si>
  <si>
    <t>Name of Examiner:</t>
  </si>
  <si>
    <t>Kind of Browsing Animals:</t>
  </si>
  <si>
    <t>Location in Mgt. Unit:</t>
  </si>
  <si>
    <t>Management Unit Name or #:</t>
  </si>
  <si>
    <t>Ecological Site:</t>
  </si>
  <si>
    <t>Client / Business Name:</t>
  </si>
  <si>
    <r>
      <t xml:space="preserve">PI-NRCS-416  Browse Resource Evaluation Worksheet
</t>
    </r>
    <r>
      <rPr>
        <sz val="10"/>
        <rFont val="Arial"/>
        <family val="2"/>
      </rPr>
      <t>(Instructions for completing worksheet on page 2)</t>
    </r>
  </si>
  <si>
    <t xml:space="preserve">Use this input area to capture the pasture forage production of the grazing system.  Add additional paddocks by selecting the "+" icon.  You may enter up to 24 separate fields/paddocks.  The yellow cells are for user inputs.  The Pasture Grazing Efficiency information can be entered manually or you can allow the model to calculate.  </t>
  </si>
  <si>
    <t xml:space="preserve">Enter the general information for the producer you are working with into the yellow cells.  Then select the livestock class (or classes) to model by selecting the check box next to the livestock class name.  You can select as many livestock classes to model as needed.  If you selected a livestock class in error, clicking the check box again will remove that livestock class from the chosen options.   Depending on the livestock class chosen, there may be additional management information to enter by selecting the button for "Mgt Info" next to the livestock class name.    Enter the management information within the button (if available) and then enter the required information in the yellow cells to capture the total forage demand.  For Cow/Calf, Dairy, Bulls, and Horses livestock classes the "Mgt Info" button will have options to manage the animals on the grazing system all year or an alternative pasture or a dry lot for a portion of the year.  The selected option will be reflected directly below the livestock class name. </t>
  </si>
  <si>
    <t>As paddock size varies, grass height should be evaluated in representative areas during each grazing period.</t>
  </si>
  <si>
    <t>green</t>
  </si>
  <si>
    <t>McDowell 1985 Nutrition of Grazing Ruminants in Warm Climate</t>
  </si>
  <si>
    <t>Average Pasture Grazing Efficiency</t>
  </si>
  <si>
    <t>Kinds/ Classes of Animals</t>
  </si>
  <si>
    <t>Air-dry wt</t>
  </si>
  <si>
    <t>Cow, dry or grass-finish steer</t>
  </si>
  <si>
    <t>Cow, with calf</t>
  </si>
  <si>
    <t>Bull, mature</t>
  </si>
  <si>
    <t>Cattle, wean-off</t>
  </si>
  <si>
    <t>Cattle, Yearlings/Replacement Heifers</t>
  </si>
  <si>
    <t>Horse, mature</t>
  </si>
  <si>
    <t>Sheep/Goats/Deer</t>
  </si>
  <si>
    <t>Dairy Cows</t>
  </si>
  <si>
    <t/>
  </si>
  <si>
    <t>Create a map showing existing fences, troughs, pipelines, tanks, corrals, etc in GIS.</t>
  </si>
  <si>
    <t>Calculate paddock acres in benchmark conditions.</t>
  </si>
  <si>
    <t>Understand livestock operation (be able to answer questions in RPTN2).</t>
  </si>
  <si>
    <t>Use RPTN6 Plant inventory to characterize brush and/or herbaceous weed issues.</t>
  </si>
  <si>
    <t>Use DIPH (range or pasture) or PCS (pasture only) to assess grazing land condition.</t>
  </si>
  <si>
    <t>Identify dominant and problem plants present in pasture and approx. percent composition.</t>
  </si>
  <si>
    <t>Gather soils data.</t>
  </si>
  <si>
    <t>Enter the climate data, island, soils, pasture condition and forage data on tab:</t>
  </si>
  <si>
    <t>Enter Livestock information in section A Livestock Needs and Demand Schedule (from RPTN2) on tab:</t>
  </si>
  <si>
    <t>Estimate Forage supply by completing "Section B. GRAZING SYSTEM PASTURE FORAGE PRODUCTION".</t>
  </si>
  <si>
    <t>Enter paddock acres.</t>
  </si>
  <si>
    <t>Evaluate the results in "Section C. SUMMARY OF LIVESTOCK NEEDS AND PASTURE FORAGE PRODUCTION".</t>
  </si>
  <si>
    <t>Transfer Benchmark assesssment to tab:</t>
  </si>
  <si>
    <t>Considering the benchmark assessment, other Resource Concerns, sensitive areas, landscape characteristics, livestock movements, client's capacity for management and forage recovery needs determine planned grazing management system (paddocks and water).</t>
  </si>
  <si>
    <t>Transfer balanced system to tab:</t>
  </si>
  <si>
    <t>*Note this tool can only be used for grazing plans for one herd at a time.</t>
  </si>
  <si>
    <t>ignore this</t>
  </si>
  <si>
    <t>Accumulated Balance (Lbs) by month (By the third year):</t>
  </si>
  <si>
    <t>Weighted Avg</t>
  </si>
  <si>
    <t>Weighted Average Calculator Tool (optional)</t>
  </si>
  <si>
    <t>Sometimes a paddock will be comprised of more than one Soil Map Unit or forage types that may have very different yield potentials.  The tool below can be used to calculate weighted averages for production based on acres of unique conditions within a paddock.</t>
  </si>
  <si>
    <t>Estimated Yield (lb/ac)</t>
  </si>
  <si>
    <t>Management should consider adjusting the grazing period to accommodate for pasture size and between growing and non-growing seasons.  Grazing periods during the slow growing season may be slightly longer, allowing for more uniform utilization between desirable forages and undesirable forages.  This will create opportunity for legumes and seedlings to emerge in the next growing season.</t>
  </si>
  <si>
    <t>Job class:</t>
  </si>
  <si>
    <t>10-12 inches</t>
  </si>
  <si>
    <t>12-18 inches</t>
  </si>
  <si>
    <t>based on data from PMC, Leary and thorne.</t>
  </si>
  <si>
    <t>**This tool has many fields that are forward filling.  It is important to work through the tabs in order.</t>
  </si>
  <si>
    <t>IMPORTANT: USE "VIEW" "PAGE LAYOUT" to see print preview before adjusting row heights. (this row will not print)</t>
  </si>
  <si>
    <t>Chuuk, Airport</t>
  </si>
  <si>
    <t>Kosrae, Airport</t>
  </si>
  <si>
    <t>Nukuroro</t>
  </si>
  <si>
    <t>Pingelap</t>
  </si>
  <si>
    <t>Pohnpei, Kolonia</t>
  </si>
  <si>
    <t>Pohnpei, Palikir</t>
  </si>
  <si>
    <t>Jaluit</t>
  </si>
  <si>
    <t>Northern Mariana Islands, Commonwealth of</t>
  </si>
  <si>
    <t>Palau, Republic of</t>
  </si>
  <si>
    <t>Micronesia, Federated States of</t>
  </si>
  <si>
    <t>Marshall Islands, Republic of</t>
  </si>
  <si>
    <t>Rota (Airport)</t>
  </si>
  <si>
    <t>Tinian</t>
  </si>
  <si>
    <t>Saipan, Capitol Hill</t>
  </si>
  <si>
    <t>Nekken Forestry</t>
  </si>
  <si>
    <t>Peleliu</t>
  </si>
  <si>
    <t>Saipan, Airport</t>
  </si>
  <si>
    <t>Koror</t>
  </si>
  <si>
    <t>Avg/Total</t>
  </si>
  <si>
    <t>Rainfall, inch</t>
  </si>
  <si>
    <t xml:space="preserve">Gather climate data from online atlas (see Climate Instructions tab): </t>
  </si>
  <si>
    <t>Refers to right table to get forage code</t>
  </si>
  <si>
    <t>Hence the *1.1</t>
  </si>
  <si>
    <t xml:space="preserve">if </t>
  </si>
  <si>
    <t>901-Guinea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</si>
</sst>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General_)"/>
    <numFmt numFmtId="165" formatCode="0.0_)"/>
    <numFmt numFmtId="166" formatCode="0_)"/>
    <numFmt numFmtId="167" formatCode="0.00_)"/>
    <numFmt numFmtId="168" formatCode="0.0"/>
    <numFmt numFmtId="169" formatCode="0.000"/>
    <numFmt numFmtId="170" formatCode="0;\-0;;@"/>
    <numFmt numFmtId="171" formatCode="#,###"/>
    <numFmt numFmtId="172" formatCode="#,##0.0"/>
    <numFmt numFmtId="173" formatCode="#,###.0"/>
    <numFmt numFmtId="174" formatCode="0.0%"/>
    <numFmt numFmtId="175" formatCode="[$-409]mmmm\ d\,\ yyyy;@"/>
    <numFmt numFmtId="176" formatCode="mmmm\ d\,\ yyyy"/>
    <numFmt numFmtId="177" formatCode="0.000%"/>
    <numFmt numFmtId="178" formatCode="0.0000"/>
    <numFmt numFmtId="179" formatCode="0.00000"/>
  </numFmts>
  <fonts count="154">
    <font>
      <sz val="10"/>
      <name val="Courie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ourier"/>
      <family val="3"/>
    </font>
    <font>
      <sz val="10"/>
      <color indexed="8"/>
      <name val="Courier"/>
      <family val="3"/>
    </font>
    <font>
      <b/>
      <sz val="10"/>
      <color indexed="8"/>
      <name val="Arial"/>
      <family val="2"/>
    </font>
    <font>
      <b/>
      <sz val="12"/>
      <name val="Arial"/>
      <family val="2"/>
    </font>
    <font>
      <sz val="14"/>
      <name val="Arial"/>
      <family val="2"/>
    </font>
    <font>
      <sz val="11"/>
      <name val="Arial"/>
      <family val="2"/>
    </font>
    <font>
      <sz val="10"/>
      <name val="Arial"/>
      <family val="2"/>
    </font>
    <font>
      <sz val="11"/>
      <color indexed="10"/>
      <name val="Arial"/>
      <family val="2"/>
    </font>
    <font>
      <sz val="12"/>
      <color indexed="8"/>
      <name val="Arial"/>
      <family val="2"/>
    </font>
    <font>
      <sz val="11"/>
      <name val="Courier"/>
      <family val="3"/>
    </font>
    <font>
      <sz val="12"/>
      <name val="Arial"/>
      <family val="2"/>
    </font>
    <font>
      <sz val="12"/>
      <name val="Courier"/>
      <family val="3"/>
    </font>
    <font>
      <b/>
      <sz val="11"/>
      <name val="Arial"/>
      <family val="2"/>
    </font>
    <font>
      <sz val="12"/>
      <color indexed="8"/>
      <name val="Arial"/>
      <family val="2"/>
    </font>
    <font>
      <b/>
      <sz val="16"/>
      <name val="Arial"/>
      <family val="2"/>
    </font>
    <font>
      <b/>
      <sz val="10"/>
      <name val="Courier"/>
      <family val="3"/>
    </font>
    <font>
      <sz val="8"/>
      <name val="Courier"/>
      <family val="3"/>
    </font>
    <font>
      <b/>
      <sz val="10"/>
      <name val="Courier"/>
      <family val="3"/>
    </font>
    <font>
      <b/>
      <sz val="12"/>
      <color indexed="8"/>
      <name val="Arial"/>
      <family val="2"/>
    </font>
    <font>
      <b/>
      <sz val="11"/>
      <name val="Arial"/>
      <family val="2"/>
    </font>
    <font>
      <b/>
      <sz val="14"/>
      <name val="Arial"/>
      <family val="2"/>
    </font>
    <font>
      <sz val="12"/>
      <color indexed="10"/>
      <name val="Arial"/>
      <family val="2"/>
    </font>
    <font>
      <b/>
      <sz val="12"/>
      <color indexed="8"/>
      <name val="Arial"/>
      <family val="2"/>
    </font>
    <font>
      <u/>
      <sz val="12"/>
      <name val="Arial"/>
      <family val="2"/>
    </font>
    <font>
      <sz val="10"/>
      <name val="Courier"/>
      <family val="3"/>
    </font>
    <font>
      <b/>
      <sz val="10"/>
      <name val="Arial"/>
      <family val="2"/>
    </font>
    <font>
      <sz val="9"/>
      <name val="Courier"/>
      <family val="3"/>
    </font>
    <font>
      <i/>
      <sz val="10"/>
      <name val="Arial"/>
      <family val="2"/>
    </font>
    <font>
      <b/>
      <sz val="14"/>
      <color indexed="8"/>
      <name val="Arial"/>
      <family val="2"/>
    </font>
    <font>
      <b/>
      <sz val="14"/>
      <name val="Arial"/>
      <family val="2"/>
    </font>
    <font>
      <sz val="8"/>
      <name val="Arial"/>
      <family val="2"/>
    </font>
    <font>
      <sz val="18"/>
      <name val="ESRI Geometric Symbols"/>
    </font>
    <font>
      <b/>
      <sz val="11"/>
      <name val="Courier"/>
      <family val="3"/>
    </font>
    <font>
      <b/>
      <i/>
      <sz val="10"/>
      <name val="Arial"/>
      <family val="2"/>
    </font>
    <font>
      <b/>
      <i/>
      <u/>
      <sz val="10"/>
      <name val="Arial"/>
      <family val="2"/>
    </font>
    <font>
      <sz val="11"/>
      <color theme="1"/>
      <name val="Calibri"/>
      <family val="2"/>
      <scheme val="minor"/>
    </font>
    <font>
      <sz val="10"/>
      <color rgb="FFFF0000"/>
      <name val="Courier"/>
      <family val="3"/>
    </font>
    <font>
      <sz val="12"/>
      <color rgb="FFFF0000"/>
      <name val="Arial"/>
      <family val="2"/>
    </font>
    <font>
      <b/>
      <sz val="12"/>
      <color rgb="FFFF0000"/>
      <name val="Arial"/>
      <family val="2"/>
    </font>
    <font>
      <sz val="10"/>
      <color rgb="FFFF0000"/>
      <name val="Arial"/>
      <family val="2"/>
    </font>
    <font>
      <sz val="12"/>
      <color theme="1"/>
      <name val="Arial"/>
      <family val="2"/>
    </font>
    <font>
      <sz val="12"/>
      <color theme="0"/>
      <name val="Arial"/>
      <family val="2"/>
    </font>
    <font>
      <b/>
      <sz val="18"/>
      <name val="Arial"/>
      <family val="2"/>
    </font>
    <font>
      <i/>
      <sz val="12"/>
      <name val="Arial"/>
      <family val="2"/>
    </font>
    <font>
      <b/>
      <sz val="12"/>
      <color theme="1"/>
      <name val="Arial"/>
      <family val="2"/>
    </font>
    <font>
      <b/>
      <sz val="10"/>
      <color theme="1"/>
      <name val="Arial"/>
      <family val="2"/>
    </font>
    <font>
      <sz val="10"/>
      <color theme="1"/>
      <name val="Arial"/>
      <family val="2"/>
    </font>
    <font>
      <u/>
      <sz val="10"/>
      <color theme="10"/>
      <name val="Courier"/>
      <family val="3"/>
    </font>
    <font>
      <sz val="12"/>
      <color theme="0" tint="-0.34998626667073579"/>
      <name val="Arial"/>
      <family val="2"/>
    </font>
    <font>
      <b/>
      <sz val="14"/>
      <color theme="1"/>
      <name val="Arial"/>
      <family val="2"/>
    </font>
    <font>
      <u/>
      <sz val="11"/>
      <color rgb="FF000000"/>
      <name val="Arial"/>
      <family val="2"/>
    </font>
    <font>
      <sz val="11"/>
      <color rgb="FF000000"/>
      <name val="Arial"/>
      <family val="2"/>
    </font>
    <font>
      <u/>
      <sz val="11"/>
      <name val="Arial"/>
      <family val="2"/>
    </font>
    <font>
      <i/>
      <sz val="10"/>
      <name val="Courier"/>
      <family val="3"/>
    </font>
    <font>
      <i/>
      <sz val="11"/>
      <name val="Arial"/>
      <family val="2"/>
    </font>
    <font>
      <sz val="9"/>
      <name val="Arial"/>
      <family val="2"/>
    </font>
    <font>
      <u/>
      <sz val="10"/>
      <name val="Arial"/>
      <family val="2"/>
    </font>
    <font>
      <b/>
      <sz val="18"/>
      <color theme="1"/>
      <name val="Arial"/>
      <family val="2"/>
    </font>
    <font>
      <i/>
      <sz val="14"/>
      <name val="Arial"/>
      <family val="2"/>
    </font>
    <font>
      <b/>
      <i/>
      <sz val="14"/>
      <color theme="1"/>
      <name val="Arial"/>
      <family val="2"/>
    </font>
    <font>
      <i/>
      <sz val="12"/>
      <color theme="1"/>
      <name val="Arial"/>
      <family val="2"/>
    </font>
    <font>
      <sz val="10"/>
      <color rgb="FFFF0000"/>
      <name val="Segoe UI"/>
      <family val="2"/>
    </font>
    <font>
      <i/>
      <sz val="14"/>
      <color theme="1"/>
      <name val="Arial"/>
      <family val="2"/>
    </font>
    <font>
      <u/>
      <sz val="11"/>
      <color theme="10"/>
      <name val="Arial"/>
      <family val="2"/>
    </font>
    <font>
      <sz val="11"/>
      <color rgb="FFFF0000"/>
      <name val="Arial"/>
      <family val="2"/>
    </font>
    <font>
      <u/>
      <sz val="10"/>
      <color theme="10"/>
      <name val="Arial Narrow"/>
      <family val="2"/>
    </font>
    <font>
      <i/>
      <sz val="8"/>
      <name val="Arial"/>
      <family val="2"/>
    </font>
    <font>
      <sz val="11"/>
      <name val="Arial Narrow"/>
      <family val="2"/>
    </font>
    <font>
      <b/>
      <sz val="11"/>
      <name val="Arial Narrow"/>
      <family val="2"/>
    </font>
    <font>
      <b/>
      <sz val="11"/>
      <color theme="1"/>
      <name val="Arial Narrow"/>
      <family val="2"/>
    </font>
    <font>
      <b/>
      <sz val="12"/>
      <name val="Arial Narrow"/>
      <family val="2"/>
    </font>
    <font>
      <i/>
      <sz val="12"/>
      <name val="Arial Narrow"/>
      <family val="2"/>
    </font>
    <font>
      <sz val="10"/>
      <name val="Arial Narrow"/>
      <family val="2"/>
    </font>
    <font>
      <sz val="12"/>
      <name val="Arial Narrow"/>
      <family val="2"/>
    </font>
    <font>
      <sz val="14"/>
      <name val="Arial Narrow"/>
      <family val="2"/>
    </font>
    <font>
      <b/>
      <sz val="10"/>
      <name val="Arial Narrow"/>
      <family val="2"/>
    </font>
    <font>
      <b/>
      <sz val="14"/>
      <name val="Arial Narrow"/>
      <family val="2"/>
    </font>
    <font>
      <b/>
      <sz val="13"/>
      <name val="Arial Narrow"/>
      <family val="2"/>
    </font>
    <font>
      <i/>
      <sz val="11"/>
      <name val="Arial Narrow"/>
      <family val="2"/>
    </font>
    <font>
      <sz val="11"/>
      <color theme="1"/>
      <name val="Arial"/>
      <family val="2"/>
    </font>
    <font>
      <sz val="9"/>
      <color indexed="81"/>
      <name val="Tahoma"/>
      <family val="2"/>
    </font>
    <font>
      <b/>
      <sz val="12"/>
      <color indexed="81"/>
      <name val="Arial"/>
      <family val="2"/>
    </font>
    <font>
      <b/>
      <i/>
      <sz val="12"/>
      <color theme="1"/>
      <name val="Arial"/>
      <family val="2"/>
    </font>
    <font>
      <b/>
      <sz val="13"/>
      <name val="Arial"/>
      <family val="2"/>
    </font>
    <font>
      <b/>
      <sz val="11.5"/>
      <name val="Arial"/>
      <family val="2"/>
    </font>
    <font>
      <sz val="11"/>
      <name val="Calibri"/>
      <family val="2"/>
      <scheme val="minor"/>
    </font>
    <font>
      <b/>
      <sz val="10"/>
      <name val="Courier"/>
    </font>
    <font>
      <sz val="10"/>
      <name val="Calibri"/>
      <family val="2"/>
      <scheme val="minor"/>
    </font>
    <font>
      <sz val="16"/>
      <name val="Arial"/>
      <family val="2"/>
    </font>
    <font>
      <b/>
      <sz val="18"/>
      <color theme="4" tint="-0.499984740745262"/>
      <name val="Arial"/>
      <family val="2"/>
    </font>
    <font>
      <b/>
      <sz val="18"/>
      <color theme="4" tint="-0.499984740745262"/>
      <name val="Courier"/>
    </font>
    <font>
      <sz val="11"/>
      <color rgb="FFFF0000"/>
      <name val="Calibri"/>
      <family val="2"/>
      <scheme val="minor"/>
    </font>
    <font>
      <b/>
      <sz val="11"/>
      <color theme="1"/>
      <name val="Calibri"/>
      <family val="2"/>
      <scheme val="minor"/>
    </font>
    <font>
      <sz val="10"/>
      <color theme="1"/>
      <name val="Calibri"/>
      <family val="2"/>
      <scheme val="minor"/>
    </font>
    <font>
      <sz val="11"/>
      <color rgb="FFFFC000"/>
      <name val="Calibri"/>
      <family val="2"/>
      <scheme val="minor"/>
    </font>
    <font>
      <b/>
      <u/>
      <sz val="11"/>
      <color theme="1"/>
      <name val="Calibri"/>
      <family val="2"/>
      <scheme val="minor"/>
    </font>
    <font>
      <sz val="16"/>
      <color theme="1"/>
      <name val="Calibri"/>
      <family val="2"/>
      <scheme val="minor"/>
    </font>
    <font>
      <b/>
      <sz val="16"/>
      <color theme="1"/>
      <name val="Calibri"/>
      <family val="2"/>
      <scheme val="minor"/>
    </font>
    <font>
      <u/>
      <sz val="11"/>
      <color theme="10"/>
      <name val="Calibri"/>
      <family val="2"/>
      <scheme val="minor"/>
    </font>
    <font>
      <sz val="8"/>
      <color theme="1"/>
      <name val="Calibri"/>
      <family val="2"/>
      <scheme val="minor"/>
    </font>
    <font>
      <sz val="22"/>
      <color theme="1"/>
      <name val="Calibri"/>
      <family val="2"/>
      <scheme val="minor"/>
    </font>
    <font>
      <b/>
      <sz val="14"/>
      <color theme="1"/>
      <name val="Calibri"/>
      <family val="2"/>
      <scheme val="minor"/>
    </font>
    <font>
      <u/>
      <sz val="10"/>
      <color theme="10"/>
      <name val="Arial"/>
      <family val="2"/>
    </font>
    <font>
      <sz val="12"/>
      <name val="Courier"/>
    </font>
    <font>
      <u/>
      <sz val="11"/>
      <color theme="10"/>
      <name val="Calibri"/>
      <family val="2"/>
    </font>
    <font>
      <sz val="10"/>
      <name val="Courier"/>
    </font>
    <font>
      <b/>
      <sz val="11"/>
      <name val="Calibri"/>
      <family val="2"/>
      <scheme val="minor"/>
    </font>
    <font>
      <b/>
      <sz val="10"/>
      <name val="Calibri"/>
      <family val="2"/>
      <scheme val="minor"/>
    </font>
    <font>
      <b/>
      <sz val="10"/>
      <color theme="1"/>
      <name val="Calibri"/>
      <family val="2"/>
      <scheme val="minor"/>
    </font>
    <font>
      <sz val="9"/>
      <name val="Calibri"/>
      <family val="2"/>
      <scheme val="minor"/>
    </font>
    <font>
      <i/>
      <sz val="11"/>
      <color theme="0" tint="-0.499984740745262"/>
      <name val="Calibri"/>
      <family val="2"/>
      <scheme val="minor"/>
    </font>
    <font>
      <i/>
      <sz val="11"/>
      <color rgb="FF0070C0"/>
      <name val="Calibri"/>
      <family val="2"/>
      <scheme val="minor"/>
    </font>
    <font>
      <i/>
      <sz val="11"/>
      <color rgb="FFFFC000"/>
      <name val="Calibri"/>
      <family val="2"/>
      <scheme val="minor"/>
    </font>
    <font>
      <i/>
      <sz val="11"/>
      <color rgb="FFFF0000"/>
      <name val="Calibri"/>
      <family val="2"/>
      <scheme val="minor"/>
    </font>
    <font>
      <sz val="11"/>
      <color theme="0" tint="-0.499984740745262"/>
      <name val="Calibri"/>
      <family val="2"/>
      <scheme val="minor"/>
    </font>
    <font>
      <sz val="11"/>
      <color rgb="FF0070C0"/>
      <name val="Calibri"/>
      <family val="2"/>
      <scheme val="minor"/>
    </font>
    <font>
      <b/>
      <sz val="10"/>
      <name val="Times New Roman"/>
      <family val="1"/>
    </font>
    <font>
      <b/>
      <u/>
      <sz val="10"/>
      <name val="Arial"/>
      <family val="2"/>
    </font>
    <font>
      <b/>
      <i/>
      <sz val="11"/>
      <name val="Arial"/>
      <family val="2"/>
    </font>
    <font>
      <b/>
      <sz val="10"/>
      <color rgb="FFFF0000"/>
      <name val="Arial"/>
      <family val="2"/>
    </font>
    <font>
      <b/>
      <sz val="8"/>
      <name val="Arial"/>
      <family val="2"/>
    </font>
    <font>
      <sz val="10"/>
      <name val="Times New Roman"/>
      <family val="1"/>
    </font>
    <font>
      <b/>
      <sz val="7"/>
      <name val="Arial"/>
      <family val="2"/>
    </font>
    <font>
      <vertAlign val="superscript"/>
      <sz val="10"/>
      <name val="Arial"/>
      <family val="2"/>
    </font>
    <font>
      <sz val="6"/>
      <name val="Arial"/>
      <family val="2"/>
    </font>
    <font>
      <b/>
      <sz val="9"/>
      <name val="Arial"/>
      <family val="2"/>
    </font>
    <font>
      <sz val="10"/>
      <color indexed="10"/>
      <name val="Arial"/>
      <family val="2"/>
    </font>
    <font>
      <sz val="8"/>
      <color indexed="10"/>
      <name val="Arial"/>
      <family val="2"/>
    </font>
    <font>
      <b/>
      <sz val="11"/>
      <color indexed="10"/>
      <name val="Arial"/>
      <family val="2"/>
    </font>
    <font>
      <b/>
      <sz val="8"/>
      <color indexed="10"/>
      <name val="Arial"/>
      <family val="2"/>
    </font>
    <font>
      <b/>
      <sz val="10"/>
      <color indexed="10"/>
      <name val="Arial"/>
      <family val="2"/>
    </font>
    <font>
      <u/>
      <sz val="10"/>
      <color indexed="10"/>
      <name val="Arial"/>
      <family val="2"/>
    </font>
    <font>
      <b/>
      <sz val="12"/>
      <color indexed="10"/>
      <name val="Arial"/>
      <family val="2"/>
    </font>
    <font>
      <sz val="7"/>
      <name val="Arial"/>
      <family val="2"/>
    </font>
    <font>
      <strike/>
      <sz val="10"/>
      <name val="Arial"/>
      <family val="2"/>
    </font>
    <font>
      <sz val="9"/>
      <color indexed="10"/>
      <name val="Arial"/>
      <family val="2"/>
    </font>
    <font>
      <b/>
      <sz val="13"/>
      <color rgb="FFFF0000"/>
      <name val="Arial"/>
      <family val="2"/>
    </font>
    <font>
      <b/>
      <sz val="14"/>
      <color rgb="FFFF0000"/>
      <name val="Arial"/>
      <family val="2"/>
    </font>
    <font>
      <sz val="11"/>
      <color rgb="FF00B050"/>
      <name val="Calibri"/>
      <family val="2"/>
      <scheme val="minor"/>
    </font>
    <font>
      <sz val="8"/>
      <name val="Courier"/>
    </font>
    <font>
      <i/>
      <sz val="11"/>
      <color theme="1"/>
      <name val="Calibri"/>
      <family val="2"/>
      <scheme val="minor"/>
    </font>
    <font>
      <sz val="8"/>
      <name val="Calibri"/>
      <family val="2"/>
      <scheme val="minor"/>
    </font>
    <font>
      <sz val="10"/>
      <color rgb="FF000000"/>
      <name val="Tahoma"/>
      <family val="2"/>
    </font>
    <font>
      <b/>
      <sz val="10"/>
      <color rgb="FF000000"/>
      <name val="Tahoma"/>
      <family val="2"/>
    </font>
  </fonts>
  <fills count="38">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AE75C"/>
        <bgColor indexed="64"/>
      </patternFill>
    </fill>
    <fill>
      <patternFill patternType="solid">
        <fgColor rgb="FFFDF4B5"/>
        <bgColor indexed="64"/>
      </patternFill>
    </fill>
    <fill>
      <patternFill patternType="solid">
        <fgColor theme="6" tint="-0.249977111117893"/>
        <bgColor indexed="64"/>
      </patternFill>
    </fill>
    <fill>
      <patternFill patternType="solid">
        <fgColor rgb="FFFFFF00"/>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theme="0" tint="-0.249977111117893"/>
        <bgColor indexed="64"/>
      </patternFill>
    </fill>
    <fill>
      <patternFill patternType="solid">
        <fgColor theme="6"/>
        <bgColor indexed="64"/>
      </patternFill>
    </fill>
    <fill>
      <patternFill patternType="solid">
        <fgColor indexed="47"/>
        <bgColor indexed="64"/>
      </patternFill>
    </fill>
    <fill>
      <patternFill patternType="solid">
        <fgColor indexed="41"/>
        <bgColor indexed="64"/>
      </patternFill>
    </fill>
    <fill>
      <patternFill patternType="solid">
        <fgColor indexed="42"/>
        <bgColor indexed="64"/>
      </patternFill>
    </fill>
    <fill>
      <patternFill patternType="solid">
        <fgColor indexed="45"/>
        <bgColor indexed="64"/>
      </patternFill>
    </fill>
    <fill>
      <patternFill patternType="solid">
        <fgColor indexed="26"/>
        <bgColor indexed="64"/>
      </patternFill>
    </fill>
    <fill>
      <patternFill patternType="lightGray">
        <bgColor indexed="47"/>
      </patternFill>
    </fill>
    <fill>
      <patternFill patternType="lightGray">
        <bgColor indexed="26"/>
      </patternFill>
    </fill>
    <fill>
      <patternFill patternType="solid">
        <fgColor indexed="40"/>
        <bgColor indexed="64"/>
      </patternFill>
    </fill>
    <fill>
      <patternFill patternType="solid">
        <fgColor indexed="55"/>
        <bgColor indexed="55"/>
      </patternFill>
    </fill>
    <fill>
      <patternFill patternType="solid">
        <fgColor indexed="44"/>
        <bgColor indexed="64"/>
      </patternFill>
    </fill>
    <fill>
      <patternFill patternType="solid">
        <fgColor indexed="27"/>
        <bgColor indexed="64"/>
      </patternFill>
    </fill>
  </fills>
  <borders count="26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64"/>
      </left>
      <right style="medium">
        <color indexed="64"/>
      </right>
      <top/>
      <bottom/>
      <diagonal/>
    </border>
    <border>
      <left style="thin">
        <color indexed="64"/>
      </left>
      <right style="double">
        <color indexed="64"/>
      </right>
      <top style="thin">
        <color indexed="64"/>
      </top>
      <bottom style="thin">
        <color indexed="64"/>
      </bottom>
      <diagonal/>
    </border>
    <border>
      <left/>
      <right style="double">
        <color indexed="64"/>
      </right>
      <top/>
      <bottom/>
      <diagonal/>
    </border>
    <border>
      <left/>
      <right style="double">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1"/>
      </top>
      <bottom/>
      <diagonal/>
    </border>
    <border>
      <left style="thin">
        <color theme="1"/>
      </left>
      <right style="thin">
        <color theme="1"/>
      </right>
      <top style="thin">
        <color theme="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indexed="64"/>
      </bottom>
      <diagonal/>
    </border>
    <border>
      <left/>
      <right style="thin">
        <color theme="1"/>
      </right>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style="thin">
        <color theme="1"/>
      </left>
      <right/>
      <top/>
      <bottom/>
      <diagonal/>
    </border>
    <border>
      <left/>
      <right style="thin">
        <color theme="1"/>
      </right>
      <top/>
      <bottom/>
      <diagonal/>
    </border>
    <border>
      <left style="thin">
        <color theme="1"/>
      </left>
      <right style="thin">
        <color indexed="64"/>
      </right>
      <top/>
      <bottom style="thin">
        <color indexed="64"/>
      </bottom>
      <diagonal/>
    </border>
    <border>
      <left style="thin">
        <color indexed="64"/>
      </left>
      <right style="thin">
        <color theme="1"/>
      </right>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indexed="64"/>
      </top>
      <bottom style="thin">
        <color theme="1"/>
      </bottom>
      <diagonal/>
    </border>
    <border>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medium">
        <color indexed="64"/>
      </left>
      <right style="medium">
        <color theme="6" tint="0.79998168889431442"/>
      </right>
      <top/>
      <bottom/>
      <diagonal/>
    </border>
    <border>
      <left style="medium">
        <color indexed="64"/>
      </left>
      <right style="medium">
        <color theme="3" tint="0.79998168889431442"/>
      </right>
      <top/>
      <bottom/>
      <diagonal/>
    </border>
    <border>
      <left/>
      <right/>
      <top style="medium">
        <color indexed="64"/>
      </top>
      <bottom style="medium">
        <color theme="3" tint="0.79998168889431442"/>
      </bottom>
      <diagonal/>
    </border>
    <border>
      <left/>
      <right/>
      <top/>
      <bottom style="medium">
        <color theme="4" tint="-0.249977111117893"/>
      </bottom>
      <diagonal/>
    </border>
    <border>
      <left/>
      <right style="medium">
        <color theme="4" tint="-0.249977111117893"/>
      </right>
      <top/>
      <bottom style="medium">
        <color theme="4" tint="-0.249977111117893"/>
      </bottom>
      <diagonal/>
    </border>
    <border>
      <left/>
      <right/>
      <top style="medium">
        <color indexed="64"/>
      </top>
      <bottom style="medium">
        <color theme="6" tint="0.79998168889431442"/>
      </bottom>
      <diagonal/>
    </border>
    <border>
      <left/>
      <right/>
      <top/>
      <bottom style="medium">
        <color theme="6" tint="-0.249977111117893"/>
      </bottom>
      <diagonal/>
    </border>
    <border>
      <left/>
      <right style="medium">
        <color theme="6" tint="-0.249977111117893"/>
      </right>
      <top/>
      <bottom style="medium">
        <color theme="6" tint="-0.249977111117893"/>
      </bottom>
      <diagonal/>
    </border>
    <border>
      <left/>
      <right style="medium">
        <color theme="6" tint="0.79998168889431442"/>
      </right>
      <top/>
      <bottom/>
      <diagonal/>
    </border>
    <border>
      <left style="medium">
        <color theme="6" tint="0.79998168889431442"/>
      </left>
      <right/>
      <top style="medium">
        <color theme="6" tint="0.79998168889431442"/>
      </top>
      <bottom style="medium">
        <color theme="6" tint="-0.249977111117893"/>
      </bottom>
      <diagonal/>
    </border>
    <border>
      <left/>
      <right/>
      <top style="medium">
        <color theme="6" tint="0.79998168889431442"/>
      </top>
      <bottom style="medium">
        <color theme="6" tint="-0.249977111117893"/>
      </bottom>
      <diagonal/>
    </border>
    <border>
      <left/>
      <right style="medium">
        <color theme="6" tint="-0.249977111117893"/>
      </right>
      <top style="medium">
        <color theme="6" tint="0.79998168889431442"/>
      </top>
      <bottom style="medium">
        <color theme="6" tint="-0.249977111117893"/>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theme="2"/>
      </bottom>
      <diagonal/>
    </border>
    <border>
      <left/>
      <right style="medium">
        <color theme="2"/>
      </right>
      <top/>
      <bottom/>
      <diagonal/>
    </border>
    <border>
      <left/>
      <right style="medium">
        <color theme="2" tint="-0.749992370372631"/>
      </right>
      <top/>
      <bottom/>
      <diagonal/>
    </border>
    <border>
      <left style="medium">
        <color theme="2"/>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style="medium">
        <color theme="2" tint="-0.749992370372631"/>
      </top>
      <bottom/>
      <diagonal/>
    </border>
    <border>
      <left style="medium">
        <color theme="2" tint="-0.749992370372631"/>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style="thin">
        <color indexed="64"/>
      </bottom>
      <diagonal/>
    </border>
    <border>
      <left style="medium">
        <color theme="2" tint="-0.749992370372631"/>
      </left>
      <right/>
      <top/>
      <bottom style="medium">
        <color theme="2" tint="-0.749992370372631"/>
      </bottom>
      <diagonal/>
    </border>
    <border>
      <left style="medium">
        <color theme="2" tint="-0.749992370372631"/>
      </left>
      <right/>
      <top style="medium">
        <color theme="2" tint="-0.749992370372631"/>
      </top>
      <bottom style="medium">
        <color theme="2" tint="-0.749992370372631"/>
      </bottom>
      <diagonal/>
    </border>
    <border>
      <left/>
      <right/>
      <top style="medium">
        <color theme="2" tint="-0.749992370372631"/>
      </top>
      <bottom style="medium">
        <color theme="2" tint="-0.749992370372631"/>
      </bottom>
      <diagonal/>
    </border>
    <border>
      <left/>
      <right style="medium">
        <color theme="2" tint="-0.749992370372631"/>
      </right>
      <top style="medium">
        <color theme="2" tint="-0.749992370372631"/>
      </top>
      <bottom style="medium">
        <color theme="2" tint="-0.749992370372631"/>
      </bottom>
      <diagonal/>
    </border>
    <border>
      <left style="medium">
        <color theme="2" tint="-0.749992370372631"/>
      </left>
      <right style="thin">
        <color theme="2" tint="-0.749992370372631"/>
      </right>
      <top style="thin">
        <color indexed="64"/>
      </top>
      <bottom/>
      <diagonal/>
    </border>
    <border>
      <left style="medium">
        <color theme="2" tint="-0.749992370372631"/>
      </left>
      <right style="thin">
        <color theme="2" tint="-0.749992370372631"/>
      </right>
      <top/>
      <bottom/>
      <diagonal/>
    </border>
    <border>
      <left style="thin">
        <color theme="2" tint="-0.749992370372631"/>
      </left>
      <right style="thin">
        <color theme="2" tint="-0.749992370372631"/>
      </right>
      <top style="thin">
        <color indexed="64"/>
      </top>
      <bottom/>
      <diagonal/>
    </border>
    <border>
      <left style="thin">
        <color theme="2" tint="-0.749992370372631"/>
      </left>
      <right style="thin">
        <color theme="2" tint="-0.749992370372631"/>
      </right>
      <top/>
      <bottom/>
      <diagonal/>
    </border>
    <border>
      <left style="medium">
        <color theme="2" tint="-0.749992370372631"/>
      </left>
      <right style="thin">
        <color theme="2" tint="-0.749992370372631"/>
      </right>
      <top/>
      <bottom style="thin">
        <color theme="2" tint="-0.749992370372631"/>
      </bottom>
      <diagonal/>
    </border>
    <border>
      <left style="thin">
        <color theme="2" tint="-0.749992370372631"/>
      </left>
      <right style="thin">
        <color theme="2" tint="-0.749992370372631"/>
      </right>
      <top/>
      <bottom style="thin">
        <color theme="2" tint="-0.749992370372631"/>
      </bottom>
      <diagonal/>
    </border>
    <border>
      <left/>
      <right style="medium">
        <color theme="2" tint="-0.749992370372631"/>
      </right>
      <top/>
      <bottom style="thin">
        <color theme="2" tint="-0.749992370372631"/>
      </bottom>
      <diagonal/>
    </border>
    <border>
      <left style="thin">
        <color theme="2" tint="-0.749992370372631"/>
      </left>
      <right/>
      <top style="thin">
        <color theme="2" tint="-0.749992370372631"/>
      </top>
      <bottom style="medium">
        <color theme="2" tint="-0.749992370372631"/>
      </bottom>
      <diagonal/>
    </border>
    <border>
      <left/>
      <right style="thin">
        <color theme="2" tint="-0.749992370372631"/>
      </right>
      <top style="thin">
        <color theme="2" tint="-0.749992370372631"/>
      </top>
      <bottom style="medium">
        <color theme="2" tint="-0.749992370372631"/>
      </bottom>
      <diagonal/>
    </border>
    <border>
      <left style="thin">
        <color theme="2" tint="-0.749992370372631"/>
      </left>
      <right style="thin">
        <color theme="2" tint="-0.749992370372631"/>
      </right>
      <top style="thin">
        <color theme="2" tint="-0.749992370372631"/>
      </top>
      <bottom style="medium">
        <color theme="2" tint="-0.749992370372631"/>
      </bottom>
      <diagonal/>
    </border>
    <border>
      <left style="thin">
        <color theme="2" tint="-0.749992370372631"/>
      </left>
      <right style="medium">
        <color theme="2" tint="-0.749992370372631"/>
      </right>
      <top style="thin">
        <color theme="2" tint="-0.749992370372631"/>
      </top>
      <bottom style="medium">
        <color theme="2" tint="-0.749992370372631"/>
      </bottom>
      <diagonal/>
    </border>
    <border>
      <left/>
      <right style="thin">
        <color theme="2" tint="-0.749992370372631"/>
      </right>
      <top style="medium">
        <color theme="2" tint="-0.749992370372631"/>
      </top>
      <bottom/>
      <diagonal/>
    </border>
    <border>
      <left/>
      <right style="thin">
        <color theme="2" tint="-0.749992370372631"/>
      </right>
      <top/>
      <bottom/>
      <diagonal/>
    </border>
    <border>
      <left/>
      <right style="thin">
        <color theme="2" tint="-0.749992370372631"/>
      </right>
      <top/>
      <bottom style="thin">
        <color indexed="64"/>
      </bottom>
      <diagonal/>
    </border>
    <border>
      <left style="medium">
        <color theme="2" tint="-0.749992370372631"/>
      </left>
      <right style="thin">
        <color theme="2" tint="-0.749992370372631"/>
      </right>
      <top style="medium">
        <color theme="2" tint="-0.749992370372631"/>
      </top>
      <bottom/>
      <diagonal/>
    </border>
    <border>
      <left style="medium">
        <color theme="2" tint="-0.749992370372631"/>
      </left>
      <right style="thin">
        <color theme="2" tint="-0.749992370372631"/>
      </right>
      <top/>
      <bottom style="thin">
        <color indexed="64"/>
      </bottom>
      <diagonal/>
    </border>
    <border>
      <left style="thin">
        <color theme="2" tint="-0.749992370372631"/>
      </left>
      <right style="thin">
        <color theme="2" tint="-0.749992370372631"/>
      </right>
      <top style="medium">
        <color theme="2" tint="-0.749992370372631"/>
      </top>
      <bottom/>
      <diagonal/>
    </border>
    <border>
      <left style="thin">
        <color theme="2" tint="-0.749992370372631"/>
      </left>
      <right style="thin">
        <color theme="2" tint="-0.749992370372631"/>
      </right>
      <top/>
      <bottom style="thin">
        <color indexed="64"/>
      </bottom>
      <diagonal/>
    </border>
    <border>
      <left style="medium">
        <color theme="2" tint="-0.749992370372631"/>
      </left>
      <right/>
      <top/>
      <bottom style="thin">
        <color theme="2" tint="-0.749992370372631"/>
      </bottom>
      <diagonal/>
    </border>
    <border>
      <left/>
      <right/>
      <top/>
      <bottom style="thin">
        <color theme="2" tint="-0.749992370372631"/>
      </bottom>
      <diagonal/>
    </border>
    <border>
      <left style="medium">
        <color theme="2" tint="-0.749992370372631"/>
      </left>
      <right/>
      <top style="thin">
        <color theme="2" tint="-0.749992370372631"/>
      </top>
      <bottom style="medium">
        <color theme="2" tint="-0.749992370372631"/>
      </bottom>
      <diagonal/>
    </border>
    <border>
      <left/>
      <right/>
      <top style="thin">
        <color theme="2" tint="-0.749992370372631"/>
      </top>
      <bottom style="medium">
        <color theme="2" tint="-0.749992370372631"/>
      </bottom>
      <diagonal/>
    </border>
    <border>
      <left style="medium">
        <color theme="2" tint="-0.749992370372631"/>
      </left>
      <right/>
      <top/>
      <bottom style="thin">
        <color theme="1"/>
      </bottom>
      <diagonal/>
    </border>
    <border>
      <left/>
      <right/>
      <top/>
      <bottom style="thin">
        <color theme="1"/>
      </bottom>
      <diagonal/>
    </border>
    <border>
      <left/>
      <right style="medium">
        <color theme="2" tint="-0.749992370372631"/>
      </right>
      <top/>
      <bottom style="thin">
        <color theme="1"/>
      </bottom>
      <diagonal/>
    </border>
    <border>
      <left/>
      <right style="medium">
        <color theme="2" tint="-0.749992370372631"/>
      </right>
      <top style="thin">
        <color theme="1"/>
      </top>
      <bottom style="thin">
        <color theme="1"/>
      </bottom>
      <diagonal/>
    </border>
    <border>
      <left style="thin">
        <color theme="1"/>
      </left>
      <right/>
      <top/>
      <bottom style="thin">
        <color theme="1"/>
      </bottom>
      <diagonal/>
    </border>
    <border>
      <left style="medium">
        <color theme="6" tint="0.79998168889431442"/>
      </left>
      <right/>
      <top style="medium">
        <color theme="6" tint="0.79998168889431442"/>
      </top>
      <bottom style="medium">
        <color rgb="FFD2BA06"/>
      </bottom>
      <diagonal/>
    </border>
    <border>
      <left/>
      <right/>
      <top style="medium">
        <color theme="6" tint="0.79998168889431442"/>
      </top>
      <bottom style="medium">
        <color rgb="FFD2BA06"/>
      </bottom>
      <diagonal/>
    </border>
    <border>
      <left/>
      <right style="medium">
        <color rgb="FFD2BA06"/>
      </right>
      <top style="medium">
        <color theme="6" tint="0.79998168889431442"/>
      </top>
      <bottom style="medium">
        <color rgb="FFD2BA06"/>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auto="1"/>
      </left>
      <right/>
      <top style="thin">
        <color auto="1"/>
      </top>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diagonal/>
    </border>
    <border>
      <left/>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right style="double">
        <color auto="1"/>
      </right>
      <top/>
      <bottom style="double">
        <color auto="1"/>
      </bottom>
      <diagonal/>
    </border>
    <border>
      <left/>
      <right/>
      <top/>
      <bottom style="double">
        <color auto="1"/>
      </bottom>
      <diagonal/>
    </border>
    <border>
      <left style="double">
        <color auto="1"/>
      </left>
      <right/>
      <top/>
      <bottom style="double">
        <color auto="1"/>
      </bottom>
      <diagonal/>
    </border>
    <border>
      <left style="double">
        <color auto="1"/>
      </left>
      <right/>
      <top/>
      <bottom/>
      <diagonal/>
    </border>
    <border>
      <left/>
      <right style="double">
        <color auto="1"/>
      </right>
      <top style="double">
        <color auto="1"/>
      </top>
      <bottom/>
      <diagonal/>
    </border>
    <border>
      <left/>
      <right/>
      <top style="double">
        <color auto="1"/>
      </top>
      <bottom/>
      <diagonal/>
    </border>
    <border>
      <left style="double">
        <color auto="1"/>
      </left>
      <right/>
      <top style="double">
        <color auto="1"/>
      </top>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3"/>
      </top>
      <bottom style="hair">
        <color indexed="64"/>
      </bottom>
      <diagonal/>
    </border>
    <border>
      <left style="thin">
        <color indexed="64"/>
      </left>
      <right style="thin">
        <color indexed="64"/>
      </right>
      <top style="hair">
        <color indexed="63"/>
      </top>
      <bottom style="hair">
        <color indexed="63"/>
      </bottom>
      <diagonal/>
    </border>
    <border>
      <left style="thin">
        <color indexed="64"/>
      </left>
      <right style="medium">
        <color indexed="64"/>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hair">
        <color indexed="63"/>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medium">
        <color indexed="64"/>
      </left>
      <right style="hair">
        <color indexed="64"/>
      </right>
      <top style="thin">
        <color indexed="64"/>
      </top>
      <bottom style="hair">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right/>
      <top style="double">
        <color indexed="64"/>
      </top>
      <bottom style="hair">
        <color indexed="64"/>
      </bottom>
      <diagonal/>
    </border>
    <border>
      <left style="thin">
        <color indexed="64"/>
      </left>
      <right/>
      <top style="double">
        <color indexed="64"/>
      </top>
      <bottom style="hair">
        <color indexed="64"/>
      </bottom>
      <diagonal/>
    </border>
    <border>
      <left/>
      <right style="thin">
        <color indexed="64"/>
      </right>
      <top style="double">
        <color indexed="64"/>
      </top>
      <bottom style="hair">
        <color indexed="64"/>
      </bottom>
      <diagonal/>
    </border>
    <border>
      <left style="medium">
        <color indexed="64"/>
      </left>
      <right/>
      <top style="double">
        <color indexed="64"/>
      </top>
      <bottom style="hair">
        <color indexed="64"/>
      </bottom>
      <diagonal/>
    </border>
    <border>
      <left/>
      <right style="medium">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top style="double">
        <color indexed="64"/>
      </top>
      <bottom style="double">
        <color indexed="64"/>
      </bottom>
      <diagonal/>
    </border>
    <border>
      <left style="medium">
        <color indexed="64"/>
      </left>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style="thin">
        <color indexed="64"/>
      </right>
      <top/>
      <bottom style="hair">
        <color indexed="64"/>
      </bottom>
      <diagonal/>
    </border>
    <border>
      <left/>
      <right style="medium">
        <color indexed="64"/>
      </right>
      <top/>
      <bottom style="double">
        <color indexed="64"/>
      </bottom>
      <diagonal/>
    </border>
    <border>
      <left style="medium">
        <color indexed="64"/>
      </left>
      <right/>
      <top/>
      <bottom style="double">
        <color indexed="64"/>
      </bottom>
      <diagonal/>
    </border>
    <border>
      <left style="medium">
        <color indexed="64"/>
      </left>
      <right style="medium">
        <color indexed="64"/>
      </right>
      <top/>
      <bottom style="double">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double">
        <color indexed="64"/>
      </left>
      <right/>
      <top style="hair">
        <color indexed="64"/>
      </top>
      <bottom style="medium">
        <color indexed="64"/>
      </bottom>
      <diagonal/>
    </border>
    <border>
      <left/>
      <right style="double">
        <color indexed="64"/>
      </right>
      <top style="hair">
        <color indexed="64"/>
      </top>
      <bottom style="medium">
        <color indexed="64"/>
      </bottom>
      <diagonal/>
    </border>
    <border>
      <left style="double">
        <color indexed="64"/>
      </left>
      <right/>
      <top style="hair">
        <color indexed="64"/>
      </top>
      <bottom style="hair">
        <color indexed="64"/>
      </bottom>
      <diagonal/>
    </border>
    <border>
      <left/>
      <right style="medium">
        <color indexed="64"/>
      </right>
      <top style="thin">
        <color indexed="64"/>
      </top>
      <bottom style="hair">
        <color indexed="64"/>
      </bottom>
      <diagonal/>
    </border>
    <border>
      <left/>
      <right/>
      <top style="thin">
        <color indexed="64"/>
      </top>
      <bottom style="hair">
        <color indexed="64"/>
      </bottom>
      <diagonal/>
    </border>
    <border>
      <left style="medium">
        <color indexed="64"/>
      </left>
      <right/>
      <top style="thin">
        <color indexed="64"/>
      </top>
      <bottom style="hair">
        <color indexed="64"/>
      </bottom>
      <diagonal/>
    </border>
    <border>
      <left/>
      <right style="thin">
        <color indexed="64"/>
      </right>
      <top/>
      <bottom style="hair">
        <color indexed="64"/>
      </bottom>
      <diagonal/>
    </border>
    <border>
      <left style="double">
        <color indexed="64"/>
      </left>
      <right/>
      <top/>
      <bottom style="hair">
        <color indexed="64"/>
      </bottom>
      <diagonal/>
    </border>
    <border>
      <left/>
      <right style="medium">
        <color indexed="64"/>
      </right>
      <top style="hair">
        <color indexed="64"/>
      </top>
      <bottom style="thin">
        <color indexed="64"/>
      </bottom>
      <diagonal/>
    </border>
    <border>
      <left/>
      <right/>
      <top style="hair">
        <color indexed="64"/>
      </top>
      <bottom style="thin">
        <color indexed="64"/>
      </bottom>
      <diagonal/>
    </border>
    <border>
      <left style="medium">
        <color indexed="64"/>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top style="hair">
        <color indexed="64"/>
      </top>
      <bottom style="thin">
        <color indexed="64"/>
      </bottom>
      <diagonal/>
    </border>
    <border>
      <left/>
      <right style="double">
        <color indexed="64"/>
      </right>
      <top style="hair">
        <color indexed="64"/>
      </top>
      <bottom style="thin">
        <color indexed="64"/>
      </bottom>
      <diagonal/>
    </border>
    <border>
      <left/>
      <right style="double">
        <color indexed="64"/>
      </right>
      <top style="hair">
        <color indexed="64"/>
      </top>
      <bottom style="hair">
        <color indexed="64"/>
      </bottom>
      <diagonal/>
    </border>
    <border>
      <left/>
      <right style="medium">
        <color indexed="64"/>
      </right>
      <top style="double">
        <color indexed="64"/>
      </top>
      <bottom/>
      <diagonal/>
    </border>
    <border>
      <left style="medium">
        <color indexed="64"/>
      </left>
      <right/>
      <top style="double">
        <color indexed="64"/>
      </top>
      <bottom/>
      <diagonal/>
    </border>
    <border>
      <left style="double">
        <color indexed="64"/>
      </left>
      <right/>
      <top style="double">
        <color indexed="64"/>
      </top>
      <bottom style="hair">
        <color indexed="64"/>
      </bottom>
      <diagonal/>
    </border>
    <border>
      <left/>
      <right style="double">
        <color indexed="64"/>
      </right>
      <top style="double">
        <color indexed="64"/>
      </top>
      <bottom style="hair">
        <color indexed="64"/>
      </bottom>
      <diagonal/>
    </border>
    <border>
      <left/>
      <right style="thin">
        <color indexed="64"/>
      </right>
      <top/>
      <bottom style="double">
        <color indexed="64"/>
      </bottom>
      <diagonal/>
    </border>
    <border>
      <left style="double">
        <color indexed="64"/>
      </left>
      <right/>
      <top style="double">
        <color indexed="64"/>
      </top>
      <bottom style="double">
        <color indexed="64"/>
      </bottom>
      <diagonal/>
    </border>
    <border>
      <left style="thin">
        <color indexed="64"/>
      </left>
      <right/>
      <top/>
      <bottom style="hair">
        <color indexed="64"/>
      </bottom>
      <diagonal/>
    </border>
    <border>
      <left style="thin">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bottom style="double">
        <color indexed="64"/>
      </bottom>
      <diagonal/>
    </border>
    <border>
      <left/>
      <right style="thin">
        <color indexed="64"/>
      </right>
      <top style="double">
        <color indexed="64"/>
      </top>
      <bottom/>
      <diagonal/>
    </border>
    <border>
      <left style="thin">
        <color indexed="64"/>
      </left>
      <right style="thin">
        <color indexed="64"/>
      </right>
      <top style="hair">
        <color indexed="64"/>
      </top>
      <bottom style="double">
        <color indexed="64"/>
      </bottom>
      <diagonal/>
    </border>
    <border>
      <left style="thin">
        <color indexed="64"/>
      </left>
      <right/>
      <top style="hair">
        <color indexed="64"/>
      </top>
      <bottom style="thin">
        <color indexed="64"/>
      </bottom>
      <diagonal/>
    </border>
  </borders>
  <cellStyleXfs count="16">
    <xf numFmtId="164" fontId="0" fillId="0" borderId="0"/>
    <xf numFmtId="0" fontId="45" fillId="0" borderId="0"/>
    <xf numFmtId="0" fontId="9" fillId="0" borderId="0"/>
    <xf numFmtId="164" fontId="57" fillId="0" borderId="0" applyNumberFormat="0" applyFill="0" applyBorder="0" applyAlignment="0" applyProtection="0"/>
    <xf numFmtId="0" fontId="8" fillId="0" borderId="0"/>
    <xf numFmtId="0" fontId="8" fillId="0" borderId="0"/>
    <xf numFmtId="0" fontId="7" fillId="0" borderId="0"/>
    <xf numFmtId="9" fontId="7" fillId="0" borderId="0" applyFont="0" applyFill="0" applyBorder="0" applyAlignment="0" applyProtection="0"/>
    <xf numFmtId="0" fontId="108" fillId="0" borderId="0" applyNumberFormat="0" applyFill="0" applyBorder="0" applyAlignment="0" applyProtection="0"/>
    <xf numFmtId="43" fontId="115" fillId="0" borderId="0" applyFont="0" applyFill="0" applyBorder="0" applyAlignment="0" applyProtection="0"/>
    <xf numFmtId="9" fontId="115" fillId="0" borderId="0" applyFont="0" applyFill="0" applyBorder="0" applyAlignment="0" applyProtection="0"/>
    <xf numFmtId="0" fontId="6" fillId="0" borderId="0"/>
    <xf numFmtId="9" fontId="6" fillId="0" borderId="0" applyFont="0" applyFill="0" applyBorder="0" applyAlignment="0" applyProtection="0"/>
    <xf numFmtId="0" fontId="3" fillId="0" borderId="0"/>
    <xf numFmtId="0" fontId="3" fillId="0" borderId="0"/>
    <xf numFmtId="9" fontId="3" fillId="0" borderId="0" applyFont="0" applyFill="0" applyBorder="0" applyAlignment="0" applyProtection="0"/>
  </cellStyleXfs>
  <cellXfs count="2657">
    <xf numFmtId="164" fontId="0" fillId="0" borderId="0" xfId="0"/>
    <xf numFmtId="164" fontId="0" fillId="0" borderId="0" xfId="0" applyAlignment="1">
      <alignment horizontal="fill"/>
    </xf>
    <xf numFmtId="164" fontId="15" fillId="0" borderId="0" xfId="0" applyFont="1" applyAlignment="1">
      <alignment horizontal="left"/>
    </xf>
    <xf numFmtId="3" fontId="20" fillId="0" borderId="0" xfId="0" applyNumberFormat="1" applyFont="1" applyAlignment="1">
      <alignment horizontal="center"/>
    </xf>
    <xf numFmtId="164" fontId="20" fillId="0" borderId="0" xfId="0" applyFont="1"/>
    <xf numFmtId="164" fontId="20" fillId="0" borderId="0" xfId="0" applyFont="1" applyAlignment="1">
      <alignment horizontal="left"/>
    </xf>
    <xf numFmtId="164" fontId="20" fillId="0" borderId="0" xfId="0" applyFont="1" applyAlignment="1">
      <alignment horizontal="center"/>
    </xf>
    <xf numFmtId="164" fontId="20" fillId="0" borderId="0" xfId="0" applyFont="1" applyAlignment="1">
      <alignment horizontal="right"/>
    </xf>
    <xf numFmtId="166" fontId="20" fillId="0" borderId="0" xfId="0" applyNumberFormat="1" applyFont="1" applyAlignment="1">
      <alignment horizontal="center"/>
    </xf>
    <xf numFmtId="3" fontId="20" fillId="0" borderId="1" xfId="0" applyNumberFormat="1" applyFont="1" applyBorder="1" applyAlignment="1">
      <alignment horizontal="center"/>
    </xf>
    <xf numFmtId="164" fontId="20" fillId="0" borderId="1" xfId="0" applyFont="1" applyBorder="1"/>
    <xf numFmtId="164" fontId="20" fillId="0" borderId="1" xfId="0" applyFont="1" applyBorder="1" applyAlignment="1">
      <alignment horizontal="left"/>
    </xf>
    <xf numFmtId="3" fontId="20" fillId="0" borderId="2" xfId="0" applyNumberFormat="1" applyFont="1" applyBorder="1" applyAlignment="1">
      <alignment horizontal="center"/>
    </xf>
    <xf numFmtId="3" fontId="20" fillId="0" borderId="1" xfId="0" applyNumberFormat="1" applyFont="1" applyBorder="1"/>
    <xf numFmtId="164" fontId="20" fillId="0" borderId="1" xfId="0" quotePrefix="1" applyFont="1" applyBorder="1" applyAlignment="1">
      <alignment horizontal="left"/>
    </xf>
    <xf numFmtId="164" fontId="13" fillId="0" borderId="0" xfId="0" applyFont="1"/>
    <xf numFmtId="164" fontId="20" fillId="0" borderId="14" xfId="0" applyFont="1" applyBorder="1"/>
    <xf numFmtId="49" fontId="0" fillId="0" borderId="1" xfId="0" applyNumberFormat="1" applyBorder="1"/>
    <xf numFmtId="164" fontId="31" fillId="0" borderId="0" xfId="0" applyFont="1"/>
    <xf numFmtId="164" fontId="20" fillId="0" borderId="0" xfId="0" applyFont="1" applyProtection="1">
      <protection hidden="1"/>
    </xf>
    <xf numFmtId="164" fontId="20" fillId="0" borderId="0" xfId="0" applyFont="1" applyAlignment="1">
      <alignment horizontal="fill"/>
    </xf>
    <xf numFmtId="164" fontId="20" fillId="0" borderId="0" xfId="0" quotePrefix="1" applyFont="1" applyAlignment="1">
      <alignment horizontal="fill"/>
    </xf>
    <xf numFmtId="2" fontId="20" fillId="0" borderId="0" xfId="0" applyNumberFormat="1" applyFont="1" applyAlignment="1">
      <alignment horizontal="center"/>
    </xf>
    <xf numFmtId="164" fontId="13" fillId="0" borderId="0" xfId="0" quotePrefix="1" applyFont="1"/>
    <xf numFmtId="165" fontId="20" fillId="0" borderId="0" xfId="0" applyNumberFormat="1" applyFont="1" applyAlignment="1">
      <alignment horizontal="center"/>
    </xf>
    <xf numFmtId="164" fontId="20" fillId="0" borderId="11" xfId="0" applyFont="1" applyBorder="1"/>
    <xf numFmtId="165" fontId="20" fillId="0" borderId="0" xfId="0" applyNumberFormat="1" applyFont="1" applyAlignment="1">
      <alignment horizontal="fill"/>
    </xf>
    <xf numFmtId="166" fontId="20" fillId="0" borderId="0" xfId="0" applyNumberFormat="1" applyFont="1" applyAlignment="1">
      <alignment horizontal="fill"/>
    </xf>
    <xf numFmtId="167" fontId="20" fillId="0" borderId="0" xfId="0" applyNumberFormat="1" applyFont="1" applyAlignment="1">
      <alignment horizontal="fill"/>
    </xf>
    <xf numFmtId="164" fontId="20" fillId="0" borderId="0" xfId="0" applyFont="1" applyAlignment="1">
      <alignment wrapText="1"/>
    </xf>
    <xf numFmtId="164" fontId="33" fillId="0" borderId="0" xfId="0" applyFont="1" applyAlignment="1">
      <alignment horizontal="left"/>
    </xf>
    <xf numFmtId="164" fontId="33" fillId="0" borderId="0" xfId="0" applyFont="1"/>
    <xf numFmtId="164" fontId="13" fillId="0" borderId="14" xfId="0" applyFont="1" applyBorder="1"/>
    <xf numFmtId="164" fontId="20" fillId="0" borderId="0" xfId="0" quotePrefix="1" applyFont="1" applyAlignment="1">
      <alignment horizontal="center"/>
    </xf>
    <xf numFmtId="164" fontId="20" fillId="3" borderId="1" xfId="0" applyFont="1" applyFill="1" applyBorder="1" applyAlignment="1" applyProtection="1">
      <alignment horizontal="center"/>
      <protection locked="0"/>
    </xf>
    <xf numFmtId="164" fontId="34" fillId="0" borderId="0" xfId="0" applyFont="1"/>
    <xf numFmtId="164" fontId="35" fillId="0" borderId="0" xfId="0" applyFont="1"/>
    <xf numFmtId="164" fontId="16" fillId="0" borderId="0" xfId="0" applyFont="1"/>
    <xf numFmtId="164" fontId="20" fillId="0" borderId="23" xfId="0" applyFont="1" applyBorder="1" applyAlignment="1">
      <alignment horizontal="left"/>
    </xf>
    <xf numFmtId="164" fontId="20" fillId="0" borderId="23" xfId="0" applyFont="1" applyBorder="1"/>
    <xf numFmtId="164" fontId="14" fillId="0" borderId="0" xfId="0" applyFont="1"/>
    <xf numFmtId="164" fontId="25" fillId="0" borderId="0" xfId="0" applyFont="1"/>
    <xf numFmtId="164" fontId="16" fillId="0" borderId="0" xfId="0" applyFont="1" applyAlignment="1">
      <alignment horizontal="center"/>
    </xf>
    <xf numFmtId="168" fontId="20" fillId="5" borderId="1" xfId="0" applyNumberFormat="1" applyFont="1" applyFill="1" applyBorder="1" applyAlignment="1" applyProtection="1">
      <alignment horizontal="center"/>
      <protection locked="0"/>
    </xf>
    <xf numFmtId="164" fontId="20" fillId="4" borderId="0" xfId="0" applyFont="1" applyFill="1"/>
    <xf numFmtId="164" fontId="20" fillId="4" borderId="0" xfId="0" applyFont="1" applyFill="1" applyAlignment="1">
      <alignment horizontal="center"/>
    </xf>
    <xf numFmtId="164" fontId="20" fillId="4" borderId="0" xfId="0" applyFont="1" applyFill="1" applyAlignment="1" applyProtection="1">
      <alignment horizontal="center"/>
      <protection locked="0"/>
    </xf>
    <xf numFmtId="164" fontId="16" fillId="0" borderId="0" xfId="0" applyFont="1" applyProtection="1">
      <protection hidden="1"/>
    </xf>
    <xf numFmtId="2" fontId="16" fillId="0" borderId="0" xfId="0" applyNumberFormat="1" applyFont="1" applyAlignment="1" applyProtection="1">
      <alignment horizontal="center"/>
      <protection hidden="1"/>
    </xf>
    <xf numFmtId="169" fontId="16" fillId="0" borderId="0" xfId="0" applyNumberFormat="1" applyFont="1" applyAlignment="1">
      <alignment horizontal="center"/>
    </xf>
    <xf numFmtId="2" fontId="16" fillId="0" borderId="0" xfId="0" applyNumberFormat="1" applyFont="1" applyAlignment="1">
      <alignment horizontal="center"/>
    </xf>
    <xf numFmtId="2" fontId="16" fillId="0" borderId="11" xfId="0" applyNumberFormat="1" applyFont="1" applyBorder="1" applyAlignment="1">
      <alignment horizontal="center"/>
    </xf>
    <xf numFmtId="2" fontId="16" fillId="0" borderId="22" xfId="0" applyNumberFormat="1" applyFont="1" applyBorder="1" applyAlignment="1">
      <alignment horizontal="center"/>
    </xf>
    <xf numFmtId="164" fontId="16" fillId="0" borderId="26" xfId="0" applyFont="1" applyBorder="1" applyProtection="1">
      <protection hidden="1"/>
    </xf>
    <xf numFmtId="164" fontId="16" fillId="0" borderId="12" xfId="0" applyFont="1" applyBorder="1"/>
    <xf numFmtId="164" fontId="16" fillId="0" borderId="13" xfId="0" applyFont="1" applyBorder="1"/>
    <xf numFmtId="164" fontId="16" fillId="0" borderId="24" xfId="0" applyFont="1" applyBorder="1" applyProtection="1">
      <protection hidden="1"/>
    </xf>
    <xf numFmtId="2" fontId="16" fillId="0" borderId="24" xfId="0" applyNumberFormat="1" applyFont="1" applyBorder="1" applyAlignment="1" applyProtection="1">
      <alignment horizontal="left"/>
      <protection hidden="1"/>
    </xf>
    <xf numFmtId="164" fontId="16" fillId="0" borderId="8" xfId="0" applyFont="1" applyBorder="1"/>
    <xf numFmtId="164" fontId="16" fillId="0" borderId="9" xfId="0" applyFont="1" applyBorder="1"/>
    <xf numFmtId="164" fontId="16" fillId="0" borderId="10" xfId="0" applyFont="1" applyBorder="1"/>
    <xf numFmtId="164" fontId="16" fillId="0" borderId="23" xfId="0" applyFont="1" applyBorder="1"/>
    <xf numFmtId="164" fontId="16" fillId="6" borderId="0" xfId="0" applyFont="1" applyFill="1"/>
    <xf numFmtId="164" fontId="49" fillId="0" borderId="19" xfId="0" applyFont="1" applyBorder="1"/>
    <xf numFmtId="164" fontId="16" fillId="0" borderId="26" xfId="0" applyFont="1" applyBorder="1"/>
    <xf numFmtId="164" fontId="16" fillId="6" borderId="12" xfId="0" applyFont="1" applyFill="1" applyBorder="1"/>
    <xf numFmtId="164" fontId="49" fillId="0" borderId="13" xfId="0" applyFont="1" applyBorder="1"/>
    <xf numFmtId="164" fontId="16" fillId="0" borderId="24" xfId="0" applyFont="1" applyBorder="1" applyAlignment="1">
      <alignment horizontal="center"/>
    </xf>
    <xf numFmtId="164" fontId="16" fillId="0" borderId="11" xfId="0" applyFont="1" applyBorder="1" applyAlignment="1">
      <alignment horizontal="center"/>
    </xf>
    <xf numFmtId="164" fontId="16" fillId="0" borderId="11" xfId="0" applyFont="1" applyBorder="1"/>
    <xf numFmtId="164" fontId="16" fillId="0" borderId="22" xfId="0" applyFont="1" applyBorder="1"/>
    <xf numFmtId="164" fontId="16" fillId="0" borderId="19" xfId="0" applyFont="1" applyBorder="1"/>
    <xf numFmtId="164" fontId="49" fillId="0" borderId="0" xfId="0" applyFont="1"/>
    <xf numFmtId="1" fontId="16" fillId="0" borderId="0" xfId="0" applyNumberFormat="1" applyFont="1"/>
    <xf numFmtId="164" fontId="16" fillId="0" borderId="0" xfId="0" applyFont="1" applyAlignment="1" applyProtection="1">
      <alignment horizontal="center"/>
      <protection hidden="1"/>
    </xf>
    <xf numFmtId="164" fontId="49" fillId="0" borderId="0" xfId="0" applyFont="1" applyProtection="1">
      <protection hidden="1"/>
    </xf>
    <xf numFmtId="164" fontId="16" fillId="0" borderId="0" xfId="0" applyFont="1" applyAlignment="1" applyProtection="1">
      <alignment horizontal="left"/>
      <protection hidden="1"/>
    </xf>
    <xf numFmtId="1" fontId="16" fillId="0" borderId="0" xfId="0" applyNumberFormat="1" applyFont="1" applyProtection="1">
      <protection hidden="1"/>
    </xf>
    <xf numFmtId="1" fontId="16" fillId="0" borderId="0" xfId="0" applyNumberFormat="1" applyFont="1" applyAlignment="1" applyProtection="1">
      <alignment horizontal="center"/>
      <protection hidden="1"/>
    </xf>
    <xf numFmtId="164" fontId="21" fillId="0" borderId="0" xfId="0" applyFont="1"/>
    <xf numFmtId="164" fontId="18" fillId="0" borderId="0" xfId="0" applyFont="1"/>
    <xf numFmtId="14" fontId="18" fillId="0" borderId="0" xfId="0" applyNumberFormat="1" applyFont="1"/>
    <xf numFmtId="164" fontId="18" fillId="0" borderId="0" xfId="0" applyFont="1" applyAlignment="1" applyProtection="1">
      <alignment horizontal="center"/>
      <protection locked="0"/>
    </xf>
    <xf numFmtId="3" fontId="18" fillId="2" borderId="0" xfId="0" applyNumberFormat="1" applyFont="1" applyFill="1" applyAlignment="1">
      <alignment horizontal="center"/>
    </xf>
    <xf numFmtId="1" fontId="18" fillId="0" borderId="0" xfId="0" applyNumberFormat="1" applyFont="1" applyAlignment="1">
      <alignment horizontal="center"/>
    </xf>
    <xf numFmtId="164" fontId="18" fillId="0" borderId="0" xfId="0" applyFont="1" applyAlignment="1">
      <alignment horizontal="center"/>
    </xf>
    <xf numFmtId="3" fontId="18" fillId="0" borderId="0" xfId="0" applyNumberFormat="1" applyFont="1" applyAlignment="1">
      <alignment horizontal="center"/>
    </xf>
    <xf numFmtId="3" fontId="20" fillId="4" borderId="12" xfId="0" applyNumberFormat="1" applyFont="1" applyFill="1" applyBorder="1" applyAlignment="1">
      <alignment horizontal="center"/>
    </xf>
    <xf numFmtId="164" fontId="28" fillId="0" borderId="0" xfId="0" applyFont="1" applyAlignment="1">
      <alignment horizontal="fill"/>
    </xf>
    <xf numFmtId="3" fontId="20" fillId="4" borderId="9" xfId="0" applyNumberFormat="1" applyFont="1" applyFill="1" applyBorder="1" applyAlignment="1">
      <alignment horizontal="center"/>
    </xf>
    <xf numFmtId="164" fontId="18" fillId="0" borderId="0" xfId="0" applyFont="1" applyAlignment="1">
      <alignment horizontal="fill"/>
    </xf>
    <xf numFmtId="164" fontId="20" fillId="0" borderId="18" xfId="0" applyFont="1" applyBorder="1" applyAlignment="1">
      <alignment horizontal="fill"/>
    </xf>
    <xf numFmtId="164" fontId="20" fillId="0" borderId="6" xfId="0" applyFont="1" applyBorder="1" applyAlignment="1">
      <alignment horizontal="fill"/>
    </xf>
    <xf numFmtId="164" fontId="20" fillId="0" borderId="6" xfId="0" applyFont="1" applyBorder="1" applyAlignment="1">
      <alignment horizontal="left"/>
    </xf>
    <xf numFmtId="164" fontId="20" fillId="0" borderId="21" xfId="0" applyFont="1" applyBorder="1" applyAlignment="1">
      <alignment horizontal="fill"/>
    </xf>
    <xf numFmtId="3" fontId="20" fillId="4" borderId="10" xfId="0" applyNumberFormat="1" applyFont="1" applyFill="1" applyBorder="1" applyAlignment="1">
      <alignment horizontal="center"/>
    </xf>
    <xf numFmtId="0" fontId="20" fillId="4" borderId="9" xfId="0" applyNumberFormat="1" applyFont="1" applyFill="1" applyBorder="1" applyAlignment="1">
      <alignment horizontal="left"/>
    </xf>
    <xf numFmtId="3" fontId="47" fillId="4" borderId="9" xfId="0" applyNumberFormat="1" applyFont="1" applyFill="1" applyBorder="1" applyAlignment="1">
      <alignment horizontal="left"/>
    </xf>
    <xf numFmtId="9" fontId="20" fillId="3" borderId="2" xfId="0" applyNumberFormat="1" applyFont="1" applyFill="1" applyBorder="1" applyAlignment="1" applyProtection="1">
      <alignment horizontal="center"/>
      <protection locked="0"/>
    </xf>
    <xf numFmtId="3" fontId="51" fillId="4" borderId="9" xfId="0" applyNumberFormat="1" applyFont="1" applyFill="1" applyBorder="1" applyAlignment="1">
      <alignment horizontal="center"/>
    </xf>
    <xf numFmtId="164" fontId="20" fillId="8" borderId="0" xfId="0" applyFont="1" applyFill="1" applyAlignment="1">
      <alignment horizontal="fill"/>
    </xf>
    <xf numFmtId="164" fontId="20" fillId="4" borderId="26" xfId="0" applyFont="1" applyFill="1" applyBorder="1" applyAlignment="1">
      <alignment horizontal="fill"/>
    </xf>
    <xf numFmtId="164" fontId="20" fillId="4" borderId="12" xfId="0" applyFont="1" applyFill="1" applyBorder="1" applyAlignment="1">
      <alignment horizontal="fill"/>
    </xf>
    <xf numFmtId="164" fontId="20" fillId="4" borderId="13" xfId="0" applyFont="1" applyFill="1" applyBorder="1" applyAlignment="1">
      <alignment horizontal="fill"/>
    </xf>
    <xf numFmtId="164" fontId="13" fillId="4" borderId="24" xfId="0" applyFont="1" applyFill="1" applyBorder="1"/>
    <xf numFmtId="164" fontId="13" fillId="4" borderId="11" xfId="0" applyFont="1" applyFill="1" applyBorder="1" applyAlignment="1">
      <alignment horizontal="center"/>
    </xf>
    <xf numFmtId="164" fontId="13" fillId="4" borderId="23" xfId="0" applyFont="1" applyFill="1" applyBorder="1" applyAlignment="1">
      <alignment horizontal="center"/>
    </xf>
    <xf numFmtId="164" fontId="13" fillId="4" borderId="0" xfId="0" applyFont="1" applyFill="1" applyAlignment="1">
      <alignment horizontal="center"/>
    </xf>
    <xf numFmtId="164" fontId="13" fillId="0" borderId="0" xfId="0" applyFont="1" applyAlignment="1">
      <alignment horizontal="center"/>
    </xf>
    <xf numFmtId="164" fontId="20" fillId="4" borderId="18" xfId="0" applyFont="1" applyFill="1" applyBorder="1"/>
    <xf numFmtId="164" fontId="20" fillId="0" borderId="18" xfId="0" applyFont="1" applyBorder="1"/>
    <xf numFmtId="164" fontId="20" fillId="4" borderId="18" xfId="0" applyFont="1" applyFill="1" applyBorder="1" applyAlignment="1">
      <alignment horizontal="center"/>
    </xf>
    <xf numFmtId="164" fontId="20" fillId="4" borderId="18" xfId="0" applyFont="1" applyFill="1" applyBorder="1" applyAlignment="1" applyProtection="1">
      <alignment horizontal="center"/>
      <protection locked="0"/>
    </xf>
    <xf numFmtId="164" fontId="54" fillId="0" borderId="0" xfId="0" applyFont="1" applyAlignment="1">
      <alignment horizontal="center"/>
    </xf>
    <xf numFmtId="164" fontId="13" fillId="0" borderId="12" xfId="0" applyFont="1" applyBorder="1" applyAlignment="1">
      <alignment horizontal="center" vertical="top"/>
    </xf>
    <xf numFmtId="164" fontId="54" fillId="0" borderId="12" xfId="0" applyFont="1" applyBorder="1" applyAlignment="1">
      <alignment horizontal="center" vertical="top"/>
    </xf>
    <xf numFmtId="164" fontId="13" fillId="0" borderId="19" xfId="0" applyFont="1" applyBorder="1" applyAlignment="1">
      <alignment horizontal="center"/>
    </xf>
    <xf numFmtId="164" fontId="13" fillId="0" borderId="13" xfId="0" applyFont="1" applyBorder="1" applyAlignment="1">
      <alignment horizontal="center" vertical="top"/>
    </xf>
    <xf numFmtId="164" fontId="13" fillId="0" borderId="11" xfId="0" applyFont="1" applyBorder="1"/>
    <xf numFmtId="164" fontId="13" fillId="0" borderId="11" xfId="0" applyFont="1" applyBorder="1" applyAlignment="1">
      <alignment horizontal="center"/>
    </xf>
    <xf numFmtId="164" fontId="54" fillId="0" borderId="11" xfId="0" applyFont="1" applyBorder="1" applyAlignment="1">
      <alignment horizontal="center"/>
    </xf>
    <xf numFmtId="164" fontId="13" fillId="0" borderId="22" xfId="0" applyFont="1" applyBorder="1"/>
    <xf numFmtId="164" fontId="13" fillId="0" borderId="23" xfId="0" applyFont="1" applyBorder="1" applyAlignment="1">
      <alignment horizontal="center"/>
    </xf>
    <xf numFmtId="164" fontId="13" fillId="0" borderId="26" xfId="0" applyFont="1" applyBorder="1" applyAlignment="1">
      <alignment horizontal="center" vertical="top"/>
    </xf>
    <xf numFmtId="164" fontId="20" fillId="10" borderId="15" xfId="0" applyFont="1" applyFill="1" applyBorder="1"/>
    <xf numFmtId="164" fontId="20" fillId="10" borderId="16" xfId="0" applyFont="1" applyFill="1" applyBorder="1"/>
    <xf numFmtId="164" fontId="31" fillId="10" borderId="17" xfId="0" applyFont="1" applyFill="1" applyBorder="1"/>
    <xf numFmtId="164" fontId="20" fillId="10" borderId="14" xfId="0" applyFont="1" applyFill="1" applyBorder="1"/>
    <xf numFmtId="164" fontId="20" fillId="10" borderId="0" xfId="0" applyFont="1" applyFill="1"/>
    <xf numFmtId="164" fontId="20" fillId="10" borderId="20" xfId="0" applyFont="1" applyFill="1" applyBorder="1"/>
    <xf numFmtId="164" fontId="20" fillId="10" borderId="6" xfId="0" applyFont="1" applyFill="1" applyBorder="1"/>
    <xf numFmtId="164" fontId="31" fillId="10" borderId="18" xfId="0" applyFont="1" applyFill="1" applyBorder="1"/>
    <xf numFmtId="164" fontId="20" fillId="10" borderId="21" xfId="0" applyFont="1" applyFill="1" applyBorder="1"/>
    <xf numFmtId="164" fontId="20" fillId="0" borderId="13" xfId="0" applyFont="1" applyBorder="1" applyAlignment="1" applyProtection="1">
      <alignment horizontal="center"/>
      <protection locked="0"/>
    </xf>
    <xf numFmtId="164" fontId="20" fillId="0" borderId="10" xfId="0" applyFont="1" applyBorder="1" applyAlignment="1" applyProtection="1">
      <alignment horizontal="center"/>
      <protection locked="0"/>
    </xf>
    <xf numFmtId="164" fontId="20" fillId="0" borderId="9" xfId="0" applyFont="1" applyBorder="1" applyAlignment="1" applyProtection="1">
      <alignment horizontal="center"/>
      <protection locked="0"/>
    </xf>
    <xf numFmtId="164" fontId="30" fillId="0" borderId="11" xfId="0" applyFont="1" applyBorder="1" applyAlignment="1">
      <alignment horizontal="center"/>
    </xf>
    <xf numFmtId="164" fontId="25" fillId="0" borderId="11" xfId="0" applyFont="1" applyBorder="1"/>
    <xf numFmtId="164" fontId="20" fillId="11" borderId="14" xfId="0" applyFont="1" applyFill="1" applyBorder="1"/>
    <xf numFmtId="164" fontId="20" fillId="11" borderId="0" xfId="0" applyFont="1" applyFill="1"/>
    <xf numFmtId="3" fontId="20" fillId="11" borderId="0" xfId="0" applyNumberFormat="1" applyFont="1" applyFill="1" applyAlignment="1">
      <alignment horizontal="center"/>
    </xf>
    <xf numFmtId="164" fontId="55" fillId="0" borderId="0" xfId="0" applyFont="1"/>
    <xf numFmtId="164" fontId="56" fillId="0" borderId="8" xfId="0" applyFont="1" applyBorder="1"/>
    <xf numFmtId="3" fontId="20" fillId="4" borderId="1" xfId="0" applyNumberFormat="1" applyFont="1" applyFill="1" applyBorder="1" applyAlignment="1">
      <alignment horizontal="center"/>
    </xf>
    <xf numFmtId="3" fontId="20" fillId="5" borderId="0" xfId="0" applyNumberFormat="1" applyFont="1" applyFill="1" applyAlignment="1">
      <alignment horizontal="center"/>
    </xf>
    <xf numFmtId="3" fontId="20" fillId="5" borderId="12" xfId="0" applyNumberFormat="1" applyFont="1" applyFill="1" applyBorder="1" applyAlignment="1">
      <alignment horizontal="center"/>
    </xf>
    <xf numFmtId="3" fontId="20" fillId="5" borderId="13" xfId="0" applyNumberFormat="1" applyFont="1" applyFill="1" applyBorder="1" applyAlignment="1">
      <alignment horizontal="center"/>
    </xf>
    <xf numFmtId="164" fontId="47" fillId="0" borderId="0" xfId="0" applyFont="1"/>
    <xf numFmtId="164" fontId="20" fillId="8" borderId="0" xfId="0" applyFont="1" applyFill="1"/>
    <xf numFmtId="164" fontId="13" fillId="0" borderId="24" xfId="0" applyFont="1" applyBorder="1" applyAlignment="1">
      <alignment horizontal="center"/>
    </xf>
    <xf numFmtId="164" fontId="20" fillId="0" borderId="24" xfId="0" applyFont="1" applyBorder="1"/>
    <xf numFmtId="3" fontId="20" fillId="8" borderId="0" xfId="0" applyNumberFormat="1" applyFont="1" applyFill="1" applyAlignment="1">
      <alignment horizontal="center"/>
    </xf>
    <xf numFmtId="164" fontId="47" fillId="8" borderId="0" xfId="0" applyFont="1" applyFill="1" applyAlignment="1">
      <alignment horizontal="left"/>
    </xf>
    <xf numFmtId="3" fontId="13" fillId="0" borderId="1" xfId="0" applyNumberFormat="1" applyFont="1" applyBorder="1" applyAlignment="1">
      <alignment horizontal="right"/>
    </xf>
    <xf numFmtId="3" fontId="20" fillId="0" borderId="10" xfId="0" applyNumberFormat="1" applyFont="1" applyBorder="1"/>
    <xf numFmtId="164" fontId="13" fillId="0" borderId="12" xfId="0" applyFont="1" applyBorder="1" applyAlignment="1">
      <alignment horizontal="right"/>
    </xf>
    <xf numFmtId="3" fontId="20" fillId="0" borderId="9" xfId="0" applyNumberFormat="1" applyFont="1" applyBorder="1"/>
    <xf numFmtId="3" fontId="13" fillId="0" borderId="12" xfId="0" applyNumberFormat="1" applyFont="1" applyBorder="1" applyAlignment="1">
      <alignment horizontal="right"/>
    </xf>
    <xf numFmtId="164" fontId="47" fillId="10" borderId="14" xfId="0" applyFont="1" applyFill="1" applyBorder="1"/>
    <xf numFmtId="3" fontId="13" fillId="0" borderId="1" xfId="0" applyNumberFormat="1" applyFont="1" applyBorder="1"/>
    <xf numFmtId="164" fontId="47" fillId="10" borderId="0" xfId="0" applyFont="1" applyFill="1" applyAlignment="1">
      <alignment horizontal="left"/>
    </xf>
    <xf numFmtId="3" fontId="13" fillId="0" borderId="10" xfId="0" applyNumberFormat="1" applyFont="1" applyBorder="1" applyAlignment="1">
      <alignment horizontal="center" vertical="center"/>
    </xf>
    <xf numFmtId="164" fontId="48" fillId="0" borderId="23" xfId="0" applyFont="1" applyBorder="1" applyAlignment="1">
      <alignment horizontal="right"/>
    </xf>
    <xf numFmtId="164" fontId="54" fillId="0" borderId="12" xfId="0" applyFont="1" applyBorder="1" applyAlignment="1">
      <alignment horizontal="right"/>
    </xf>
    <xf numFmtId="3" fontId="20" fillId="0" borderId="12" xfId="0" applyNumberFormat="1" applyFont="1" applyBorder="1"/>
    <xf numFmtId="3" fontId="20" fillId="0" borderId="13" xfId="0" applyNumberFormat="1" applyFont="1" applyBorder="1"/>
    <xf numFmtId="0" fontId="20" fillId="0" borderId="2" xfId="0" applyNumberFormat="1" applyFont="1" applyBorder="1" applyAlignment="1">
      <alignment horizontal="right"/>
    </xf>
    <xf numFmtId="164" fontId="20" fillId="8" borderId="0" xfId="0" applyFont="1" applyFill="1" applyAlignment="1">
      <alignment horizontal="right"/>
    </xf>
    <xf numFmtId="3" fontId="58" fillId="8" borderId="0" xfId="0" applyNumberFormat="1" applyFont="1" applyFill="1" applyAlignment="1">
      <alignment horizontal="center"/>
    </xf>
    <xf numFmtId="164" fontId="13" fillId="8" borderId="0" xfId="0" applyFont="1" applyFill="1" applyAlignment="1">
      <alignment horizontal="right"/>
    </xf>
    <xf numFmtId="164" fontId="50" fillId="8" borderId="0" xfId="0" applyFont="1" applyFill="1" applyAlignment="1">
      <alignment horizontal="right"/>
    </xf>
    <xf numFmtId="164" fontId="47" fillId="8" borderId="0" xfId="0" applyFont="1" applyFill="1" applyAlignment="1">
      <alignment horizontal="right"/>
    </xf>
    <xf numFmtId="164" fontId="13" fillId="4" borderId="29" xfId="0" applyFont="1" applyFill="1" applyBorder="1" applyAlignment="1">
      <alignment horizontal="center"/>
    </xf>
    <xf numFmtId="164" fontId="20" fillId="4" borderId="31" xfId="0" applyFont="1" applyFill="1" applyBorder="1" applyAlignment="1">
      <alignment horizontal="fill"/>
    </xf>
    <xf numFmtId="49" fontId="13" fillId="0" borderId="13" xfId="0" applyNumberFormat="1" applyFont="1" applyBorder="1" applyAlignment="1">
      <alignment horizontal="center"/>
    </xf>
    <xf numFmtId="164" fontId="20" fillId="10" borderId="19" xfId="0" applyFont="1" applyFill="1" applyBorder="1"/>
    <xf numFmtId="0" fontId="20" fillId="7" borderId="13" xfId="0" applyNumberFormat="1" applyFont="1" applyFill="1" applyBorder="1" applyAlignment="1" applyProtection="1">
      <alignment horizontal="left"/>
      <protection locked="0"/>
    </xf>
    <xf numFmtId="3" fontId="50" fillId="4" borderId="9" xfId="0" applyNumberFormat="1" applyFont="1" applyFill="1" applyBorder="1" applyAlignment="1">
      <alignment horizontal="center"/>
    </xf>
    <xf numFmtId="3" fontId="50" fillId="4" borderId="9" xfId="0" applyNumberFormat="1" applyFont="1" applyFill="1" applyBorder="1" applyAlignment="1">
      <alignment horizontal="left"/>
    </xf>
    <xf numFmtId="0" fontId="13" fillId="4" borderId="1" xfId="0" applyNumberFormat="1" applyFont="1" applyFill="1" applyBorder="1" applyAlignment="1" applyProtection="1">
      <alignment horizontal="right" vertical="center"/>
      <protection locked="0"/>
    </xf>
    <xf numFmtId="164" fontId="47" fillId="0" borderId="6" xfId="0" applyFont="1" applyBorder="1"/>
    <xf numFmtId="164" fontId="20" fillId="4" borderId="35" xfId="0" applyFont="1" applyFill="1" applyBorder="1" applyAlignment="1">
      <alignment horizontal="center" wrapText="1"/>
    </xf>
    <xf numFmtId="164" fontId="20" fillId="4" borderId="34" xfId="0" applyFont="1" applyFill="1" applyBorder="1" applyAlignment="1">
      <alignment horizontal="center" wrapText="1"/>
    </xf>
    <xf numFmtId="164" fontId="20" fillId="4" borderId="14" xfId="0" applyFont="1" applyFill="1" applyBorder="1" applyAlignment="1">
      <alignment horizontal="center"/>
    </xf>
    <xf numFmtId="164" fontId="20" fillId="4" borderId="20" xfId="0" applyFont="1" applyFill="1" applyBorder="1" applyAlignment="1">
      <alignment horizontal="center"/>
    </xf>
    <xf numFmtId="164" fontId="20" fillId="4" borderId="3" xfId="0" applyFont="1" applyFill="1" applyBorder="1" applyAlignment="1">
      <alignment horizontal="center"/>
    </xf>
    <xf numFmtId="164" fontId="20" fillId="4" borderId="4" xfId="0" applyFont="1" applyFill="1" applyBorder="1" applyAlignment="1">
      <alignment horizontal="center"/>
    </xf>
    <xf numFmtId="164" fontId="20" fillId="4" borderId="5" xfId="0" applyFont="1" applyFill="1" applyBorder="1" applyAlignment="1">
      <alignment horizontal="center"/>
    </xf>
    <xf numFmtId="164" fontId="0" fillId="9" borderId="0" xfId="0" applyFill="1"/>
    <xf numFmtId="164" fontId="13" fillId="9" borderId="0" xfId="0" applyFont="1" applyFill="1"/>
    <xf numFmtId="164" fontId="47" fillId="0" borderId="24" xfId="0" applyFont="1" applyBorder="1"/>
    <xf numFmtId="164" fontId="13" fillId="0" borderId="11" xfId="0" applyFont="1" applyBorder="1" applyAlignment="1">
      <alignment horizontal="right"/>
    </xf>
    <xf numFmtId="3" fontId="20" fillId="0" borderId="1" xfId="0" applyNumberFormat="1" applyFont="1" applyBorder="1" applyAlignment="1">
      <alignment horizontal="center" vertical="center"/>
    </xf>
    <xf numFmtId="0" fontId="20" fillId="3" borderId="1" xfId="0" applyNumberFormat="1" applyFont="1" applyFill="1" applyBorder="1" applyAlignment="1" applyProtection="1">
      <alignment horizontal="left" vertical="center"/>
      <protection locked="0"/>
    </xf>
    <xf numFmtId="164" fontId="20" fillId="3" borderId="1" xfId="0" applyFont="1" applyFill="1" applyBorder="1" applyAlignment="1" applyProtection="1">
      <alignment horizontal="center" vertical="center"/>
      <protection locked="0"/>
    </xf>
    <xf numFmtId="3" fontId="20" fillId="3" borderId="1" xfId="0" applyNumberFormat="1" applyFont="1" applyFill="1" applyBorder="1" applyAlignment="1" applyProtection="1">
      <alignment horizontal="center" vertical="center"/>
      <protection locked="0"/>
    </xf>
    <xf numFmtId="9" fontId="20" fillId="3" borderId="1" xfId="0" applyNumberFormat="1" applyFont="1" applyFill="1" applyBorder="1" applyAlignment="1" applyProtection="1">
      <alignment horizontal="center" vertical="center"/>
      <protection locked="0"/>
    </xf>
    <xf numFmtId="164" fontId="47" fillId="10" borderId="14" xfId="0" applyFont="1" applyFill="1" applyBorder="1" applyAlignment="1">
      <alignment horizontal="left"/>
    </xf>
    <xf numFmtId="164" fontId="23" fillId="2" borderId="0" xfId="0" applyFont="1" applyFill="1" applyAlignment="1" applyProtection="1">
      <alignment horizontal="center"/>
      <protection locked="0"/>
    </xf>
    <xf numFmtId="164" fontId="0" fillId="4" borderId="15" xfId="0" applyFill="1" applyBorder="1"/>
    <xf numFmtId="164" fontId="0" fillId="4" borderId="16" xfId="0" applyFill="1" applyBorder="1"/>
    <xf numFmtId="164" fontId="0" fillId="4" borderId="14" xfId="0" applyFill="1" applyBorder="1"/>
    <xf numFmtId="164" fontId="0" fillId="4" borderId="0" xfId="0" applyFill="1"/>
    <xf numFmtId="164" fontId="20" fillId="4" borderId="0" xfId="0" applyFont="1" applyFill="1" applyAlignment="1">
      <alignment horizontal="left"/>
    </xf>
    <xf numFmtId="164" fontId="0" fillId="4" borderId="20" xfId="0" applyFill="1" applyBorder="1"/>
    <xf numFmtId="164" fontId="0" fillId="4" borderId="6" xfId="0" quotePrefix="1" applyFill="1" applyBorder="1" applyAlignment="1">
      <alignment horizontal="fill"/>
    </xf>
    <xf numFmtId="164" fontId="0" fillId="4" borderId="6" xfId="0" applyFill="1" applyBorder="1" applyAlignment="1">
      <alignment horizontal="fill"/>
    </xf>
    <xf numFmtId="164" fontId="19" fillId="4" borderId="0" xfId="0" applyFont="1" applyFill="1"/>
    <xf numFmtId="164" fontId="24" fillId="4" borderId="16" xfId="0" applyFont="1" applyFill="1" applyBorder="1"/>
    <xf numFmtId="164" fontId="0" fillId="4" borderId="17" xfId="0" applyFill="1" applyBorder="1"/>
    <xf numFmtId="164" fontId="0" fillId="4" borderId="18" xfId="0" applyFill="1" applyBorder="1"/>
    <xf numFmtId="164" fontId="32" fillId="4" borderId="0" xfId="0" applyFont="1" applyFill="1"/>
    <xf numFmtId="164" fontId="32" fillId="4" borderId="0" xfId="0" applyFont="1" applyFill="1" applyAlignment="1">
      <alignment horizontal="left"/>
    </xf>
    <xf numFmtId="164" fontId="10" fillId="4" borderId="0" xfId="0" applyFont="1" applyFill="1"/>
    <xf numFmtId="49" fontId="32" fillId="4" borderId="0" xfId="0" applyNumberFormat="1" applyFont="1" applyFill="1" applyAlignment="1">
      <alignment horizontal="left"/>
    </xf>
    <xf numFmtId="164" fontId="0" fillId="4" borderId="21" xfId="0" applyFill="1" applyBorder="1" applyAlignment="1">
      <alignment horizontal="fill"/>
    </xf>
    <xf numFmtId="2" fontId="23" fillId="4" borderId="0" xfId="0" applyNumberFormat="1" applyFont="1" applyFill="1" applyAlignment="1">
      <alignment horizontal="center"/>
    </xf>
    <xf numFmtId="164" fontId="15" fillId="4" borderId="18" xfId="0" applyFont="1" applyFill="1" applyBorder="1"/>
    <xf numFmtId="164" fontId="0" fillId="4" borderId="3" xfId="0" applyFill="1" applyBorder="1"/>
    <xf numFmtId="164" fontId="0" fillId="4" borderId="4" xfId="0" applyFill="1" applyBorder="1"/>
    <xf numFmtId="164" fontId="0" fillId="4" borderId="5" xfId="0" applyFill="1" applyBorder="1"/>
    <xf numFmtId="164" fontId="21" fillId="4" borderId="5" xfId="0" applyFont="1" applyFill="1" applyBorder="1"/>
    <xf numFmtId="168" fontId="20" fillId="4" borderId="1" xfId="0" applyNumberFormat="1" applyFont="1" applyFill="1" applyBorder="1" applyAlignment="1">
      <alignment horizontal="center"/>
    </xf>
    <xf numFmtId="3" fontId="13" fillId="4" borderId="2" xfId="0" applyNumberFormat="1" applyFont="1" applyFill="1" applyBorder="1" applyAlignment="1">
      <alignment horizontal="center"/>
    </xf>
    <xf numFmtId="164" fontId="13" fillId="4" borderId="38" xfId="0" applyFont="1" applyFill="1" applyBorder="1" applyAlignment="1">
      <alignment horizontal="center"/>
    </xf>
    <xf numFmtId="164" fontId="20" fillId="4" borderId="39" xfId="0" applyFont="1" applyFill="1" applyBorder="1" applyAlignment="1">
      <alignment horizontal="center"/>
    </xf>
    <xf numFmtId="164" fontId="11" fillId="4" borderId="0" xfId="0" applyFont="1" applyFill="1" applyAlignment="1">
      <alignment horizontal="fill"/>
    </xf>
    <xf numFmtId="1" fontId="11" fillId="4" borderId="0" xfId="0" applyNumberFormat="1" applyFont="1" applyFill="1" applyAlignment="1">
      <alignment horizontal="fill"/>
    </xf>
    <xf numFmtId="164" fontId="0" fillId="4" borderId="0" xfId="0" applyFill="1" applyAlignment="1">
      <alignment horizontal="fill"/>
    </xf>
    <xf numFmtId="168" fontId="0" fillId="4" borderId="0" xfId="0" applyNumberFormat="1" applyFill="1" applyAlignment="1">
      <alignment horizontal="fill"/>
    </xf>
    <xf numFmtId="166" fontId="0" fillId="4" borderId="0" xfId="0" applyNumberFormat="1" applyFill="1" applyAlignment="1">
      <alignment horizontal="fill"/>
    </xf>
    <xf numFmtId="1" fontId="15" fillId="4" borderId="0" xfId="0" applyNumberFormat="1" applyFont="1" applyFill="1" applyAlignment="1">
      <alignment horizontal="center"/>
    </xf>
    <xf numFmtId="167" fontId="0" fillId="4" borderId="0" xfId="0" applyNumberFormat="1" applyFill="1" applyAlignment="1">
      <alignment horizontal="fill"/>
    </xf>
    <xf numFmtId="167" fontId="0" fillId="4" borderId="18" xfId="0" applyNumberFormat="1" applyFill="1" applyBorder="1" applyAlignment="1">
      <alignment horizontal="fill"/>
    </xf>
    <xf numFmtId="164" fontId="13" fillId="4" borderId="39" xfId="0" applyFont="1" applyFill="1" applyBorder="1" applyAlignment="1">
      <alignment horizontal="left"/>
    </xf>
    <xf numFmtId="164" fontId="0" fillId="4" borderId="1" xfId="0" applyFill="1" applyBorder="1"/>
    <xf numFmtId="164" fontId="13" fillId="4" borderId="40" xfId="0" applyFont="1" applyFill="1" applyBorder="1" applyAlignment="1">
      <alignment horizontal="left"/>
    </xf>
    <xf numFmtId="164" fontId="15" fillId="4" borderId="9" xfId="0" applyFont="1" applyFill="1" applyBorder="1" applyAlignment="1">
      <alignment horizontal="center"/>
    </xf>
    <xf numFmtId="3" fontId="15" fillId="4" borderId="9" xfId="0" applyNumberFormat="1" applyFont="1" applyFill="1" applyBorder="1" applyAlignment="1">
      <alignment horizontal="center"/>
    </xf>
    <xf numFmtId="3" fontId="15" fillId="4" borderId="11" xfId="0" applyNumberFormat="1" applyFont="1" applyFill="1" applyBorder="1" applyAlignment="1">
      <alignment horizontal="center"/>
    </xf>
    <xf numFmtId="3" fontId="15" fillId="4" borderId="0" xfId="0" applyNumberFormat="1" applyFont="1" applyFill="1" applyAlignment="1">
      <alignment horizontal="center"/>
    </xf>
    <xf numFmtId="165" fontId="15" fillId="4" borderId="0" xfId="0" applyNumberFormat="1" applyFont="1" applyFill="1" applyAlignment="1">
      <alignment horizontal="center"/>
    </xf>
    <xf numFmtId="166" fontId="15" fillId="4" borderId="0" xfId="0" applyNumberFormat="1" applyFont="1" applyFill="1" applyAlignment="1">
      <alignment horizontal="center"/>
    </xf>
    <xf numFmtId="167" fontId="15" fillId="4" borderId="0" xfId="0" applyNumberFormat="1" applyFont="1" applyFill="1" applyAlignment="1">
      <alignment horizontal="center"/>
    </xf>
    <xf numFmtId="164" fontId="13" fillId="4" borderId="40" xfId="0" applyFont="1" applyFill="1" applyBorder="1"/>
    <xf numFmtId="164" fontId="0" fillId="4" borderId="10" xfId="0" applyFill="1" applyBorder="1"/>
    <xf numFmtId="164" fontId="0" fillId="4" borderId="18" xfId="0" applyFill="1" applyBorder="1" applyAlignment="1">
      <alignment horizontal="fill"/>
    </xf>
    <xf numFmtId="164" fontId="13" fillId="4" borderId="0" xfId="0" applyFont="1" applyFill="1" applyAlignment="1">
      <alignment horizontal="left"/>
    </xf>
    <xf numFmtId="164" fontId="17" fillId="4" borderId="0" xfId="0" applyFont="1" applyFill="1"/>
    <xf numFmtId="164" fontId="34" fillId="4" borderId="0" xfId="0" applyFont="1" applyFill="1"/>
    <xf numFmtId="164" fontId="15" fillId="4" borderId="0" xfId="0" applyFont="1" applyFill="1"/>
    <xf numFmtId="1" fontId="20" fillId="4" borderId="0" xfId="0" applyNumberFormat="1" applyFont="1" applyFill="1" applyAlignment="1">
      <alignment horizontal="center"/>
    </xf>
    <xf numFmtId="164" fontId="15" fillId="4" borderId="20" xfId="0" applyFont="1" applyFill="1" applyBorder="1"/>
    <xf numFmtId="164" fontId="0" fillId="4" borderId="21" xfId="0" applyFill="1" applyBorder="1"/>
    <xf numFmtId="164" fontId="0" fillId="10" borderId="0" xfId="0" applyFill="1"/>
    <xf numFmtId="164" fontId="17" fillId="10" borderId="0" xfId="0" applyFont="1" applyFill="1"/>
    <xf numFmtId="3" fontId="20" fillId="10" borderId="0" xfId="0" applyNumberFormat="1" applyFont="1" applyFill="1" applyAlignment="1">
      <alignment horizontal="center"/>
    </xf>
    <xf numFmtId="167" fontId="0" fillId="10" borderId="0" xfId="0" applyNumberFormat="1" applyFill="1" applyAlignment="1">
      <alignment horizontal="fill"/>
    </xf>
    <xf numFmtId="164" fontId="0" fillId="10" borderId="0" xfId="0" applyFill="1" applyAlignment="1">
      <alignment horizontal="fill"/>
    </xf>
    <xf numFmtId="164" fontId="15" fillId="10" borderId="0" xfId="0" applyFont="1" applyFill="1"/>
    <xf numFmtId="164" fontId="30" fillId="4" borderId="14" xfId="0" applyFont="1" applyFill="1" applyBorder="1" applyAlignment="1">
      <alignment horizontal="right"/>
    </xf>
    <xf numFmtId="164" fontId="27" fillId="4" borderId="0" xfId="0" applyFont="1" applyFill="1"/>
    <xf numFmtId="49" fontId="38" fillId="4" borderId="0" xfId="0" applyNumberFormat="1" applyFont="1" applyFill="1" applyAlignment="1">
      <alignment horizontal="left"/>
    </xf>
    <xf numFmtId="164" fontId="14" fillId="4" borderId="14" xfId="0" applyFont="1" applyFill="1" applyBorder="1" applyAlignment="1">
      <alignment horizontal="center"/>
    </xf>
    <xf numFmtId="3" fontId="27" fillId="4" borderId="18" xfId="0" applyNumberFormat="1" applyFont="1" applyFill="1" applyBorder="1"/>
    <xf numFmtId="164" fontId="20" fillId="4" borderId="0" xfId="0" applyFont="1" applyFill="1" applyAlignment="1">
      <alignment horizontal="right"/>
    </xf>
    <xf numFmtId="164" fontId="20" fillId="4" borderId="14" xfId="0" applyFont="1" applyFill="1" applyBorder="1"/>
    <xf numFmtId="164" fontId="20" fillId="4" borderId="14" xfId="0" applyFont="1" applyFill="1" applyBorder="1" applyAlignment="1">
      <alignment horizontal="left"/>
    </xf>
    <xf numFmtId="3" fontId="20" fillId="4" borderId="14" xfId="0" applyNumberFormat="1" applyFont="1" applyFill="1" applyBorder="1"/>
    <xf numFmtId="164" fontId="35" fillId="4" borderId="0" xfId="0" applyFont="1" applyFill="1" applyAlignment="1">
      <alignment horizontal="center"/>
    </xf>
    <xf numFmtId="164" fontId="30" fillId="4" borderId="0" xfId="0" applyFont="1" applyFill="1"/>
    <xf numFmtId="164" fontId="16" fillId="4" borderId="14" xfId="0" applyFont="1" applyFill="1" applyBorder="1" applyAlignment="1">
      <alignment horizontal="left"/>
    </xf>
    <xf numFmtId="164" fontId="15" fillId="4" borderId="0" xfId="0" applyFont="1" applyFill="1" applyAlignment="1">
      <alignment horizontal="right"/>
    </xf>
    <xf numFmtId="164" fontId="15" fillId="4" borderId="14" xfId="0" applyFont="1" applyFill="1" applyBorder="1"/>
    <xf numFmtId="164" fontId="29" fillId="4" borderId="14" xfId="0" applyFont="1" applyFill="1" applyBorder="1"/>
    <xf numFmtId="164" fontId="14" fillId="4" borderId="14" xfId="0" applyFont="1" applyFill="1" applyBorder="1" applyAlignment="1">
      <alignment horizontal="left"/>
    </xf>
    <xf numFmtId="164" fontId="0" fillId="4" borderId="6" xfId="0" applyFill="1" applyBorder="1"/>
    <xf numFmtId="3" fontId="18" fillId="4" borderId="0" xfId="0" applyNumberFormat="1" applyFont="1" applyFill="1" applyAlignment="1">
      <alignment horizontal="center"/>
    </xf>
    <xf numFmtId="4" fontId="18" fillId="4" borderId="0" xfId="0" applyNumberFormat="1" applyFont="1" applyFill="1" applyAlignment="1">
      <alignment horizontal="center"/>
    </xf>
    <xf numFmtId="164" fontId="27" fillId="4" borderId="0" xfId="0" applyFont="1" applyFill="1" applyAlignment="1">
      <alignment horizontal="center"/>
    </xf>
    <xf numFmtId="164" fontId="0" fillId="4" borderId="0" xfId="0" applyFill="1" applyAlignment="1">
      <alignment horizontal="center"/>
    </xf>
    <xf numFmtId="164" fontId="34" fillId="4" borderId="0" xfId="0" applyFont="1" applyFill="1" applyAlignment="1">
      <alignment horizontal="center"/>
    </xf>
    <xf numFmtId="3" fontId="20" fillId="4" borderId="18" xfId="0" applyNumberFormat="1" applyFont="1" applyFill="1" applyBorder="1"/>
    <xf numFmtId="164" fontId="34" fillId="4" borderId="18" xfId="0" applyFont="1" applyFill="1" applyBorder="1"/>
    <xf numFmtId="164" fontId="13" fillId="4" borderId="0" xfId="0" applyFont="1" applyFill="1" applyAlignment="1" applyProtection="1">
      <alignment horizontal="left"/>
      <protection locked="0"/>
    </xf>
    <xf numFmtId="164" fontId="14" fillId="4" borderId="0" xfId="0" applyFont="1" applyFill="1"/>
    <xf numFmtId="164" fontId="15" fillId="4" borderId="0" xfId="0" applyFont="1" applyFill="1" applyAlignment="1">
      <alignment horizontal="center"/>
    </xf>
    <xf numFmtId="172" fontId="20" fillId="4" borderId="0" xfId="0" applyNumberFormat="1" applyFont="1" applyFill="1" applyAlignment="1">
      <alignment horizontal="center"/>
    </xf>
    <xf numFmtId="3" fontId="13" fillId="4" borderId="0" xfId="0" applyNumberFormat="1" applyFont="1" applyFill="1" applyAlignment="1">
      <alignment horizontal="center"/>
    </xf>
    <xf numFmtId="164" fontId="19" fillId="4" borderId="18" xfId="0" applyFont="1" applyFill="1" applyBorder="1"/>
    <xf numFmtId="164" fontId="20" fillId="4" borderId="25" xfId="0" applyFont="1" applyFill="1" applyBorder="1"/>
    <xf numFmtId="3" fontId="20" fillId="4" borderId="0" xfId="0" applyNumberFormat="1" applyFont="1" applyFill="1" applyAlignment="1">
      <alignment horizontal="center"/>
    </xf>
    <xf numFmtId="164" fontId="0" fillId="12" borderId="0" xfId="0" applyFill="1"/>
    <xf numFmtId="164" fontId="0" fillId="12" borderId="18" xfId="0" applyFill="1" applyBorder="1"/>
    <xf numFmtId="164" fontId="13" fillId="12" borderId="0" xfId="0" applyFont="1" applyFill="1"/>
    <xf numFmtId="164" fontId="46" fillId="12" borderId="0" xfId="0" applyFont="1" applyFill="1"/>
    <xf numFmtId="164" fontId="20" fillId="12" borderId="0" xfId="0" applyFont="1" applyFill="1"/>
    <xf numFmtId="164" fontId="34" fillId="12" borderId="0" xfId="0" applyFont="1" applyFill="1"/>
    <xf numFmtId="164" fontId="60" fillId="4" borderId="14" xfId="0" applyFont="1" applyFill="1" applyBorder="1"/>
    <xf numFmtId="164" fontId="61" fillId="4" borderId="14" xfId="0" applyFont="1" applyFill="1" applyBorder="1"/>
    <xf numFmtId="164" fontId="60" fillId="4" borderId="14" xfId="0" applyFont="1" applyFill="1" applyBorder="1" applyAlignment="1">
      <alignment horizontal="left" vertical="center" readingOrder="1"/>
    </xf>
    <xf numFmtId="164" fontId="13" fillId="4" borderId="14" xfId="0" applyFont="1" applyFill="1" applyBorder="1" applyAlignment="1">
      <alignment horizontal="left"/>
    </xf>
    <xf numFmtId="164" fontId="60" fillId="4" borderId="20" xfId="0" applyFont="1" applyFill="1" applyBorder="1"/>
    <xf numFmtId="164" fontId="63" fillId="4" borderId="18" xfId="0" applyFont="1" applyFill="1" applyBorder="1"/>
    <xf numFmtId="164" fontId="63" fillId="4" borderId="14" xfId="0" applyFont="1" applyFill="1" applyBorder="1"/>
    <xf numFmtId="164" fontId="0" fillId="10" borderId="18" xfId="0" applyFill="1" applyBorder="1"/>
    <xf numFmtId="164" fontId="13" fillId="0" borderId="0" xfId="0" applyFont="1" applyAlignment="1">
      <alignment horizontal="center" vertical="center"/>
    </xf>
    <xf numFmtId="164" fontId="53" fillId="0" borderId="12" xfId="0" applyFont="1" applyBorder="1" applyAlignment="1">
      <alignment horizontal="center" wrapText="1"/>
    </xf>
    <xf numFmtId="164" fontId="13" fillId="0" borderId="0" xfId="0" applyFont="1" applyAlignment="1">
      <alignment horizontal="center" vertical="top"/>
    </xf>
    <xf numFmtId="164" fontId="53" fillId="0" borderId="12" xfId="0" applyFont="1" applyBorder="1" applyAlignment="1">
      <alignment horizontal="center"/>
    </xf>
    <xf numFmtId="164" fontId="16" fillId="0" borderId="0" xfId="0" applyFont="1" applyProtection="1">
      <protection locked="0"/>
    </xf>
    <xf numFmtId="164" fontId="20" fillId="7" borderId="1" xfId="0" applyFont="1" applyFill="1" applyBorder="1" applyAlignment="1" applyProtection="1">
      <alignment horizontal="center" vertical="center"/>
      <protection locked="0"/>
    </xf>
    <xf numFmtId="3" fontId="20" fillId="7" borderId="1" xfId="0" applyNumberFormat="1" applyFont="1" applyFill="1" applyBorder="1" applyAlignment="1" applyProtection="1">
      <alignment horizontal="center" vertical="center"/>
      <protection locked="0"/>
    </xf>
    <xf numFmtId="1" fontId="50" fillId="7" borderId="1" xfId="0" applyNumberFormat="1" applyFont="1" applyFill="1" applyBorder="1" applyAlignment="1" applyProtection="1">
      <alignment horizontal="center" vertical="center"/>
      <protection locked="0"/>
    </xf>
    <xf numFmtId="164" fontId="20" fillId="0" borderId="6" xfId="0" applyFont="1" applyBorder="1"/>
    <xf numFmtId="3" fontId="13" fillId="0" borderId="11" xfId="0" applyNumberFormat="1" applyFont="1" applyBorder="1" applyAlignment="1">
      <alignment horizontal="center"/>
    </xf>
    <xf numFmtId="3" fontId="32" fillId="0" borderId="12" xfId="0" applyNumberFormat="1" applyFont="1" applyBorder="1" applyAlignment="1">
      <alignment horizontal="center"/>
    </xf>
    <xf numFmtId="3" fontId="32" fillId="0" borderId="11" xfId="0" applyNumberFormat="1" applyFont="1" applyBorder="1" applyAlignment="1">
      <alignment horizontal="center"/>
    </xf>
    <xf numFmtId="164" fontId="20" fillId="13" borderId="15" xfId="0" applyFont="1" applyFill="1" applyBorder="1"/>
    <xf numFmtId="164" fontId="20" fillId="13" borderId="14" xfId="0" applyFont="1" applyFill="1" applyBorder="1"/>
    <xf numFmtId="164" fontId="20" fillId="13" borderId="0" xfId="0" applyFont="1" applyFill="1"/>
    <xf numFmtId="164" fontId="20" fillId="13" borderId="0" xfId="0" applyFont="1" applyFill="1" applyAlignment="1">
      <alignment horizontal="right"/>
    </xf>
    <xf numFmtId="164" fontId="47" fillId="13" borderId="0" xfId="0" applyFont="1" applyFill="1"/>
    <xf numFmtId="164" fontId="20" fillId="13" borderId="14" xfId="0" applyFont="1" applyFill="1" applyBorder="1" applyAlignment="1">
      <alignment horizontal="center"/>
    </xf>
    <xf numFmtId="164" fontId="20" fillId="13" borderId="14" xfId="0" applyFont="1" applyFill="1" applyBorder="1" applyAlignment="1" applyProtection="1">
      <alignment horizontal="center"/>
      <protection locked="0"/>
    </xf>
    <xf numFmtId="164" fontId="13" fillId="13" borderId="0" xfId="0" quotePrefix="1" applyFont="1" applyFill="1"/>
    <xf numFmtId="164" fontId="20" fillId="13" borderId="19" xfId="0" applyFont="1" applyFill="1" applyBorder="1"/>
    <xf numFmtId="164" fontId="47" fillId="13" borderId="14" xfId="0" applyFont="1" applyFill="1" applyBorder="1"/>
    <xf numFmtId="164" fontId="57" fillId="13" borderId="0" xfId="3" applyFill="1" applyBorder="1"/>
    <xf numFmtId="164" fontId="48" fillId="13" borderId="20" xfId="0" applyFont="1" applyFill="1" applyBorder="1"/>
    <xf numFmtId="164" fontId="48" fillId="13" borderId="6" xfId="0" applyFont="1" applyFill="1" applyBorder="1"/>
    <xf numFmtId="164" fontId="20" fillId="13" borderId="6" xfId="0" applyFont="1" applyFill="1" applyBorder="1"/>
    <xf numFmtId="164" fontId="20" fillId="13" borderId="0" xfId="0" applyFont="1" applyFill="1" applyAlignment="1">
      <alignment horizontal="fill"/>
    </xf>
    <xf numFmtId="164" fontId="20" fillId="13" borderId="0" xfId="0" applyFont="1" applyFill="1" applyAlignment="1">
      <alignment horizontal="left"/>
    </xf>
    <xf numFmtId="164" fontId="31" fillId="13" borderId="18" xfId="0" applyFont="1" applyFill="1" applyBorder="1"/>
    <xf numFmtId="164" fontId="13" fillId="13" borderId="0" xfId="0" applyFont="1" applyFill="1"/>
    <xf numFmtId="164" fontId="31" fillId="13" borderId="17" xfId="0" applyFont="1" applyFill="1" applyBorder="1"/>
    <xf numFmtId="164" fontId="31" fillId="13" borderId="21" xfId="0" applyFont="1" applyFill="1" applyBorder="1"/>
    <xf numFmtId="164" fontId="13" fillId="13" borderId="11" xfId="0" quotePrefix="1" applyFont="1" applyFill="1" applyBorder="1" applyAlignment="1">
      <alignment horizontal="right"/>
    </xf>
    <xf numFmtId="164" fontId="20" fillId="13" borderId="11" xfId="0" applyFont="1" applyFill="1" applyBorder="1" applyAlignment="1">
      <alignment horizontal="fill"/>
    </xf>
    <xf numFmtId="164" fontId="47" fillId="13" borderId="6" xfId="0" applyFont="1" applyFill="1" applyBorder="1"/>
    <xf numFmtId="164" fontId="20" fillId="13" borderId="14" xfId="0" applyFont="1" applyFill="1" applyBorder="1" applyAlignment="1">
      <alignment vertical="center"/>
    </xf>
    <xf numFmtId="3" fontId="20" fillId="4" borderId="2" xfId="0" applyNumberFormat="1" applyFont="1" applyFill="1" applyBorder="1" applyAlignment="1">
      <alignment horizontal="center"/>
    </xf>
    <xf numFmtId="164" fontId="47" fillId="11" borderId="15" xfId="0" applyFont="1" applyFill="1" applyBorder="1"/>
    <xf numFmtId="164" fontId="31" fillId="11" borderId="17" xfId="0" applyFont="1" applyFill="1" applyBorder="1"/>
    <xf numFmtId="164" fontId="53" fillId="11" borderId="0" xfId="0" applyFont="1" applyFill="1" applyAlignment="1">
      <alignment horizontal="left" vertical="center" wrapText="1"/>
    </xf>
    <xf numFmtId="164" fontId="53" fillId="11" borderId="12" xfId="0" applyFont="1" applyFill="1" applyBorder="1" applyAlignment="1">
      <alignment horizontal="left" vertical="center" wrapText="1"/>
    </xf>
    <xf numFmtId="164" fontId="31" fillId="11" borderId="18" xfId="0" applyFont="1" applyFill="1" applyBorder="1"/>
    <xf numFmtId="164" fontId="20" fillId="11" borderId="19" xfId="0" applyFont="1" applyFill="1" applyBorder="1"/>
    <xf numFmtId="164" fontId="13" fillId="11" borderId="14" xfId="0" quotePrefix="1" applyFont="1" applyFill="1" applyBorder="1"/>
    <xf numFmtId="164" fontId="31" fillId="11" borderId="27" xfId="0" applyFont="1" applyFill="1" applyBorder="1"/>
    <xf numFmtId="164" fontId="20" fillId="11" borderId="0" xfId="0" applyFont="1" applyFill="1" applyAlignment="1" applyProtection="1">
      <alignment horizontal="center" vertical="center"/>
      <protection locked="0"/>
    </xf>
    <xf numFmtId="0" fontId="20" fillId="11" borderId="0" xfId="0" applyNumberFormat="1" applyFont="1" applyFill="1" applyAlignment="1" applyProtection="1">
      <alignment horizontal="left" vertical="center"/>
      <protection locked="0"/>
    </xf>
    <xf numFmtId="164" fontId="50" fillId="11" borderId="0" xfId="0" applyFont="1" applyFill="1" applyAlignment="1" applyProtection="1">
      <alignment horizontal="center"/>
      <protection locked="0"/>
    </xf>
    <xf numFmtId="3" fontId="50" fillId="11" borderId="0" xfId="0" applyNumberFormat="1" applyFont="1" applyFill="1" applyAlignment="1" applyProtection="1">
      <alignment horizontal="left"/>
      <protection locked="0"/>
    </xf>
    <xf numFmtId="3" fontId="51" fillId="11" borderId="0" xfId="0" applyNumberFormat="1" applyFont="1" applyFill="1" applyAlignment="1">
      <alignment horizontal="center"/>
    </xf>
    <xf numFmtId="164" fontId="51" fillId="11" borderId="0" xfId="0" applyFont="1" applyFill="1" applyAlignment="1" applyProtection="1">
      <alignment horizontal="center"/>
      <protection locked="0"/>
    </xf>
    <xf numFmtId="164" fontId="48" fillId="0" borderId="23" xfId="0" applyFont="1" applyBorder="1" applyAlignment="1">
      <alignment horizontal="left"/>
    </xf>
    <xf numFmtId="164" fontId="54" fillId="0" borderId="23" xfId="0" applyFont="1" applyBorder="1" applyAlignment="1">
      <alignment horizontal="right"/>
    </xf>
    <xf numFmtId="164" fontId="54" fillId="0" borderId="0" xfId="0" applyFont="1" applyAlignment="1">
      <alignment horizontal="right"/>
    </xf>
    <xf numFmtId="164" fontId="13" fillId="0" borderId="0" xfId="0" applyFont="1" applyAlignment="1">
      <alignment horizontal="right"/>
    </xf>
    <xf numFmtId="164" fontId="13" fillId="0" borderId="11" xfId="0" applyFont="1" applyBorder="1" applyAlignment="1">
      <alignment horizontal="center" vertical="center"/>
    </xf>
    <xf numFmtId="164" fontId="13" fillId="0" borderId="1" xfId="1" applyNumberFormat="1" applyFont="1" applyBorder="1"/>
    <xf numFmtId="164" fontId="13" fillId="0" borderId="1" xfId="1" applyNumberFormat="1" applyFont="1" applyBorder="1" applyAlignment="1">
      <alignment horizontal="center"/>
    </xf>
    <xf numFmtId="164" fontId="13" fillId="0" borderId="1" xfId="1" applyNumberFormat="1" applyFont="1" applyBorder="1" applyAlignment="1">
      <alignment wrapText="1"/>
    </xf>
    <xf numFmtId="164" fontId="20" fillId="6" borderId="10" xfId="1" applyNumberFormat="1" applyFont="1" applyFill="1" applyBorder="1"/>
    <xf numFmtId="164" fontId="20" fillId="6" borderId="1" xfId="1" applyNumberFormat="1" applyFont="1" applyFill="1" applyBorder="1"/>
    <xf numFmtId="164" fontId="20" fillId="0" borderId="14" xfId="1" applyNumberFormat="1" applyFont="1" applyBorder="1" applyAlignment="1">
      <alignment horizontal="fill"/>
    </xf>
    <xf numFmtId="164" fontId="20" fillId="0" borderId="0" xfId="1" applyNumberFormat="1" applyFont="1" applyAlignment="1">
      <alignment horizontal="fill"/>
    </xf>
    <xf numFmtId="164" fontId="20" fillId="6" borderId="40" xfId="1" applyNumberFormat="1" applyFont="1" applyFill="1" applyBorder="1" applyAlignment="1">
      <alignment horizontal="left"/>
    </xf>
    <xf numFmtId="164" fontId="13" fillId="4" borderId="0" xfId="0" applyFont="1" applyFill="1" applyAlignment="1">
      <alignment horizontal="center" vertical="top"/>
    </xf>
    <xf numFmtId="164" fontId="54" fillId="4" borderId="0" xfId="0" applyFont="1" applyFill="1" applyAlignment="1">
      <alignment horizontal="center" vertical="top"/>
    </xf>
    <xf numFmtId="164" fontId="31" fillId="4" borderId="0" xfId="0" applyFont="1" applyFill="1"/>
    <xf numFmtId="164" fontId="13" fillId="0" borderId="47" xfId="0" applyFont="1" applyBorder="1" applyAlignment="1">
      <alignment horizontal="center"/>
    </xf>
    <xf numFmtId="3" fontId="47" fillId="11" borderId="0" xfId="0" applyNumberFormat="1" applyFont="1" applyFill="1" applyAlignment="1">
      <alignment horizontal="center"/>
    </xf>
    <xf numFmtId="164" fontId="25" fillId="0" borderId="53" xfId="0" applyFont="1" applyBorder="1"/>
    <xf numFmtId="164" fontId="13" fillId="0" borderId="54" xfId="0" applyFont="1" applyBorder="1" applyAlignment="1">
      <alignment horizontal="center"/>
    </xf>
    <xf numFmtId="164" fontId="13" fillId="0" borderId="55" xfId="0" applyFont="1" applyBorder="1" applyAlignment="1">
      <alignment horizontal="center" vertical="center"/>
    </xf>
    <xf numFmtId="164" fontId="13" fillId="0" borderId="56" xfId="0" applyFont="1" applyBorder="1" applyAlignment="1">
      <alignment horizontal="center"/>
    </xf>
    <xf numFmtId="164" fontId="13" fillId="0" borderId="51" xfId="0" applyFont="1" applyBorder="1" applyAlignment="1">
      <alignment horizontal="center" vertical="top"/>
    </xf>
    <xf numFmtId="164" fontId="13" fillId="0" borderId="52" xfId="0" applyFont="1" applyBorder="1" applyAlignment="1">
      <alignment horizontal="center" vertical="top"/>
    </xf>
    <xf numFmtId="164" fontId="20" fillId="0" borderId="57" xfId="0" applyFont="1" applyBorder="1" applyAlignment="1" applyProtection="1">
      <alignment horizontal="center"/>
      <protection locked="0"/>
    </xf>
    <xf numFmtId="164" fontId="20" fillId="0" borderId="58" xfId="0" applyFont="1" applyBorder="1" applyAlignment="1">
      <alignment horizontal="center"/>
    </xf>
    <xf numFmtId="164" fontId="20" fillId="0" borderId="60" xfId="0" applyFont="1" applyBorder="1" applyAlignment="1" applyProtection="1">
      <alignment horizontal="center"/>
      <protection locked="0"/>
    </xf>
    <xf numFmtId="164" fontId="13" fillId="4" borderId="61" xfId="0" applyFont="1" applyFill="1" applyBorder="1" applyAlignment="1" applyProtection="1">
      <alignment horizontal="center"/>
      <protection locked="0"/>
    </xf>
    <xf numFmtId="164" fontId="13" fillId="4" borderId="62" xfId="0" applyFont="1" applyFill="1" applyBorder="1" applyAlignment="1" applyProtection="1">
      <alignment horizontal="center"/>
      <protection locked="0"/>
    </xf>
    <xf numFmtId="164" fontId="13" fillId="4" borderId="48" xfId="0" applyFont="1" applyFill="1" applyBorder="1" applyAlignment="1" applyProtection="1">
      <alignment horizontal="center"/>
      <protection locked="0"/>
    </xf>
    <xf numFmtId="3" fontId="13" fillId="4" borderId="62" xfId="0" applyNumberFormat="1" applyFont="1" applyFill="1" applyBorder="1" applyAlignment="1">
      <alignment horizontal="center"/>
    </xf>
    <xf numFmtId="3" fontId="13" fillId="4" borderId="48" xfId="0" applyNumberFormat="1" applyFont="1" applyFill="1" applyBorder="1" applyAlignment="1" applyProtection="1">
      <alignment horizontal="center"/>
      <protection locked="0"/>
    </xf>
    <xf numFmtId="9" fontId="13" fillId="4" borderId="62" xfId="0" applyNumberFormat="1" applyFont="1" applyFill="1" applyBorder="1" applyAlignment="1" applyProtection="1">
      <alignment horizontal="center"/>
      <protection locked="0"/>
    </xf>
    <xf numFmtId="164" fontId="13" fillId="4" borderId="63" xfId="0" applyFont="1" applyFill="1" applyBorder="1" applyAlignment="1">
      <alignment horizontal="center"/>
    </xf>
    <xf numFmtId="164" fontId="25" fillId="0" borderId="49" xfId="0" applyFont="1" applyBorder="1"/>
    <xf numFmtId="164" fontId="30" fillId="0" borderId="47" xfId="0" applyFont="1" applyBorder="1" applyAlignment="1">
      <alignment horizontal="center"/>
    </xf>
    <xf numFmtId="164" fontId="25" fillId="0" borderId="47" xfId="0" applyFont="1" applyBorder="1"/>
    <xf numFmtId="164" fontId="13" fillId="0" borderId="50" xfId="0" applyFont="1" applyBorder="1" applyAlignment="1">
      <alignment horizontal="center"/>
    </xf>
    <xf numFmtId="164" fontId="53" fillId="0" borderId="0" xfId="0" applyFont="1" applyAlignment="1">
      <alignment horizontal="center"/>
    </xf>
    <xf numFmtId="164" fontId="20" fillId="3" borderId="60" xfId="0" applyFont="1" applyFill="1" applyBorder="1" applyAlignment="1" applyProtection="1">
      <alignment horizontal="center" vertical="center"/>
      <protection locked="0"/>
    </xf>
    <xf numFmtId="164" fontId="13" fillId="0" borderId="59" xfId="0" applyFont="1" applyBorder="1" applyAlignment="1">
      <alignment horizontal="center" vertical="center"/>
    </xf>
    <xf numFmtId="3" fontId="13" fillId="0" borderId="66" xfId="0" applyNumberFormat="1" applyFont="1" applyBorder="1" applyAlignment="1">
      <alignment horizontal="center"/>
    </xf>
    <xf numFmtId="3" fontId="13" fillId="0" borderId="66" xfId="0" applyNumberFormat="1" applyFont="1" applyBorder="1" applyAlignment="1" applyProtection="1">
      <alignment horizontal="center"/>
      <protection locked="0"/>
    </xf>
    <xf numFmtId="171" fontId="13" fillId="0" borderId="66" xfId="0" applyNumberFormat="1" applyFont="1" applyBorder="1" applyAlignment="1">
      <alignment horizontal="center"/>
    </xf>
    <xf numFmtId="9" fontId="13" fillId="0" borderId="66" xfId="0" applyNumberFormat="1" applyFont="1" applyBorder="1" applyAlignment="1" applyProtection="1">
      <alignment horizontal="center"/>
      <protection locked="0"/>
    </xf>
    <xf numFmtId="164" fontId="13" fillId="0" borderId="67" xfId="0" applyFont="1" applyBorder="1" applyAlignment="1">
      <alignment horizontal="center"/>
    </xf>
    <xf numFmtId="164" fontId="48" fillId="0" borderId="26" xfId="0" applyFont="1" applyBorder="1" applyAlignment="1">
      <alignment horizontal="left"/>
    </xf>
    <xf numFmtId="3" fontId="32" fillId="0" borderId="0" xfId="0" applyNumberFormat="1" applyFont="1" applyAlignment="1">
      <alignment horizontal="center"/>
    </xf>
    <xf numFmtId="164" fontId="0" fillId="0" borderId="24" xfId="0" applyBorder="1"/>
    <xf numFmtId="164" fontId="14" fillId="0" borderId="11" xfId="0" applyFont="1" applyBorder="1"/>
    <xf numFmtId="164" fontId="0" fillId="0" borderId="11" xfId="0" applyBorder="1"/>
    <xf numFmtId="164" fontId="20" fillId="0" borderId="22" xfId="0" applyFont="1" applyBorder="1"/>
    <xf numFmtId="164" fontId="0" fillId="0" borderId="23" xfId="0" applyBorder="1"/>
    <xf numFmtId="164" fontId="13" fillId="0" borderId="26" xfId="0" applyFont="1" applyBorder="1" applyAlignment="1">
      <alignment horizontal="right"/>
    </xf>
    <xf numFmtId="164" fontId="20" fillId="0" borderId="13" xfId="0" applyFont="1" applyBorder="1"/>
    <xf numFmtId="164" fontId="20" fillId="0" borderId="11" xfId="0" applyFont="1" applyBorder="1" applyAlignment="1">
      <alignment horizontal="right"/>
    </xf>
    <xf numFmtId="164" fontId="20" fillId="0" borderId="19" xfId="0" applyFont="1" applyBorder="1"/>
    <xf numFmtId="164" fontId="0" fillId="0" borderId="26" xfId="0" applyBorder="1"/>
    <xf numFmtId="164" fontId="20" fillId="0" borderId="12" xfId="0" applyFont="1" applyBorder="1"/>
    <xf numFmtId="164" fontId="47" fillId="10" borderId="0" xfId="0" applyFont="1" applyFill="1"/>
    <xf numFmtId="164" fontId="20" fillId="10" borderId="18" xfId="0" applyFont="1" applyFill="1" applyBorder="1"/>
    <xf numFmtId="164" fontId="20" fillId="10" borderId="6" xfId="0" applyFont="1" applyFill="1" applyBorder="1" applyAlignment="1">
      <alignment horizontal="center"/>
    </xf>
    <xf numFmtId="164" fontId="0" fillId="10" borderId="23" xfId="0" applyFill="1" applyBorder="1"/>
    <xf numFmtId="164" fontId="13" fillId="10" borderId="0" xfId="0" applyFont="1" applyFill="1" applyAlignment="1">
      <alignment horizontal="right"/>
    </xf>
    <xf numFmtId="3" fontId="13" fillId="10" borderId="0" xfId="0" applyNumberFormat="1" applyFont="1" applyFill="1" applyAlignment="1">
      <alignment horizontal="center"/>
    </xf>
    <xf numFmtId="164" fontId="30" fillId="10" borderId="14" xfId="0" applyFont="1" applyFill="1" applyBorder="1" applyAlignment="1">
      <alignment vertical="center"/>
    </xf>
    <xf numFmtId="164" fontId="30" fillId="10" borderId="0" xfId="0" applyFont="1" applyFill="1" applyAlignment="1">
      <alignment vertical="center"/>
    </xf>
    <xf numFmtId="3" fontId="32" fillId="0" borderId="0" xfId="0" applyNumberFormat="1" applyFont="1" applyAlignment="1">
      <alignment horizontal="right"/>
    </xf>
    <xf numFmtId="164" fontId="13" fillId="3" borderId="1" xfId="0" applyFont="1" applyFill="1" applyBorder="1" applyAlignment="1" applyProtection="1">
      <alignment horizontal="right" vertical="center"/>
      <protection locked="0"/>
    </xf>
    <xf numFmtId="3" fontId="13" fillId="7" borderId="1" xfId="0" applyNumberFormat="1" applyFont="1" applyFill="1" applyBorder="1" applyAlignment="1" applyProtection="1">
      <alignment horizontal="right"/>
      <protection locked="0"/>
    </xf>
    <xf numFmtId="164" fontId="13" fillId="7" borderId="1" xfId="0" applyFont="1" applyFill="1" applyBorder="1" applyAlignment="1" applyProtection="1">
      <alignment horizontal="right"/>
      <protection locked="0"/>
    </xf>
    <xf numFmtId="164" fontId="13" fillId="3" borderId="1" xfId="0" applyFont="1" applyFill="1" applyBorder="1" applyAlignment="1" applyProtection="1">
      <alignment horizontal="right"/>
      <protection locked="0"/>
    </xf>
    <xf numFmtId="164" fontId="20" fillId="10" borderId="0" xfId="0" applyFont="1" applyFill="1" applyAlignment="1">
      <alignment horizontal="center"/>
    </xf>
    <xf numFmtId="164" fontId="20" fillId="10" borderId="0" xfId="0" quotePrefix="1" applyFont="1" applyFill="1" applyAlignment="1">
      <alignment horizontal="center"/>
    </xf>
    <xf numFmtId="164" fontId="20" fillId="13" borderId="69" xfId="0" applyFont="1" applyFill="1" applyBorder="1"/>
    <xf numFmtId="164" fontId="20" fillId="13" borderId="70" xfId="0" applyFont="1" applyFill="1" applyBorder="1"/>
    <xf numFmtId="164" fontId="47" fillId="13" borderId="70" xfId="0" applyFont="1" applyFill="1" applyBorder="1"/>
    <xf numFmtId="164" fontId="20" fillId="11" borderId="68" xfId="0" applyFont="1" applyFill="1" applyBorder="1"/>
    <xf numFmtId="164" fontId="53" fillId="4" borderId="14" xfId="0" applyFont="1" applyFill="1" applyBorder="1" applyAlignment="1">
      <alignment horizontal="center"/>
    </xf>
    <xf numFmtId="168" fontId="13" fillId="4" borderId="0" xfId="0" applyNumberFormat="1" applyFont="1" applyFill="1" applyAlignment="1">
      <alignment horizontal="center"/>
    </xf>
    <xf numFmtId="164" fontId="20" fillId="4" borderId="1" xfId="0" applyFont="1" applyFill="1" applyBorder="1" applyAlignment="1" applyProtection="1">
      <alignment horizontal="center"/>
      <protection locked="0"/>
    </xf>
    <xf numFmtId="164" fontId="13" fillId="0" borderId="13" xfId="0" applyFont="1" applyBorder="1" applyAlignment="1">
      <alignment horizontal="center" vertical="center"/>
    </xf>
    <xf numFmtId="164" fontId="13" fillId="0" borderId="1" xfId="0" applyFont="1" applyBorder="1" applyAlignment="1">
      <alignment horizontal="center" wrapText="1" shrinkToFit="1"/>
    </xf>
    <xf numFmtId="164" fontId="13" fillId="0" borderId="12" xfId="0" applyFont="1" applyBorder="1" applyAlignment="1">
      <alignment horizontal="center" vertical="center"/>
    </xf>
    <xf numFmtId="164" fontId="13" fillId="0" borderId="9" xfId="0" applyFont="1" applyBorder="1" applyAlignment="1">
      <alignment horizontal="center" vertical="center"/>
    </xf>
    <xf numFmtId="2" fontId="13" fillId="0" borderId="9" xfId="0" applyNumberFormat="1" applyFont="1" applyBorder="1" applyAlignment="1">
      <alignment horizontal="center" vertical="center"/>
    </xf>
    <xf numFmtId="164" fontId="20" fillId="0" borderId="80" xfId="0" applyFont="1" applyBorder="1" applyAlignment="1">
      <alignment horizontal="center" wrapText="1"/>
    </xf>
    <xf numFmtId="168" fontId="20" fillId="0" borderId="0" xfId="0" quotePrefix="1" applyNumberFormat="1" applyFont="1" applyAlignment="1">
      <alignment horizontal="center"/>
    </xf>
    <xf numFmtId="168" fontId="20" fillId="0" borderId="0" xfId="0" applyNumberFormat="1" applyFont="1" applyAlignment="1">
      <alignment horizontal="center"/>
    </xf>
    <xf numFmtId="164" fontId="20" fillId="0" borderId="80" xfId="0" applyFont="1" applyBorder="1" applyAlignment="1">
      <alignment horizontal="center"/>
    </xf>
    <xf numFmtId="164" fontId="20" fillId="0" borderId="2" xfId="0" applyFont="1" applyBorder="1" applyAlignment="1">
      <alignment horizontal="center"/>
    </xf>
    <xf numFmtId="168" fontId="20" fillId="0" borderId="12" xfId="0" applyNumberFormat="1" applyFont="1" applyBorder="1" applyAlignment="1">
      <alignment horizontal="center"/>
    </xf>
    <xf numFmtId="168" fontId="20" fillId="0" borderId="12" xfId="0" quotePrefix="1" applyNumberFormat="1" applyFont="1" applyBorder="1" applyAlignment="1">
      <alignment horizontal="center"/>
    </xf>
    <xf numFmtId="164" fontId="0" fillId="4" borderId="81" xfId="0" applyFill="1" applyBorder="1"/>
    <xf numFmtId="164" fontId="0" fillId="4" borderId="82" xfId="0" applyFill="1" applyBorder="1"/>
    <xf numFmtId="164" fontId="20" fillId="0" borderId="41" xfId="0" applyFont="1" applyBorder="1" applyAlignment="1">
      <alignment horizontal="center" wrapText="1"/>
    </xf>
    <xf numFmtId="164" fontId="13" fillId="0" borderId="25" xfId="0" applyFont="1" applyBorder="1" applyAlignment="1">
      <alignment horizontal="center" vertical="center"/>
    </xf>
    <xf numFmtId="164" fontId="20" fillId="0" borderId="14" xfId="0" applyFont="1" applyBorder="1" applyAlignment="1">
      <alignment horizontal="center"/>
    </xf>
    <xf numFmtId="168" fontId="20" fillId="0" borderId="18" xfId="0" quotePrefix="1" applyNumberFormat="1" applyFont="1" applyBorder="1" applyAlignment="1">
      <alignment horizontal="center"/>
    </xf>
    <xf numFmtId="168" fontId="20" fillId="0" borderId="18" xfId="0" applyNumberFormat="1" applyFont="1" applyBorder="1" applyAlignment="1">
      <alignment horizontal="center"/>
    </xf>
    <xf numFmtId="168" fontId="20" fillId="0" borderId="42" xfId="0" applyNumberFormat="1" applyFont="1" applyBorder="1" applyAlignment="1">
      <alignment horizontal="center"/>
    </xf>
    <xf numFmtId="164" fontId="20" fillId="0" borderId="41" xfId="0" applyFont="1" applyBorder="1" applyAlignment="1">
      <alignment horizontal="center"/>
    </xf>
    <xf numFmtId="164" fontId="64" fillId="4" borderId="6" xfId="0" applyFont="1" applyFill="1" applyBorder="1"/>
    <xf numFmtId="164" fontId="20" fillId="0" borderId="85" xfId="0" applyFont="1" applyBorder="1"/>
    <xf numFmtId="164" fontId="47" fillId="0" borderId="16" xfId="0" applyFont="1" applyBorder="1"/>
    <xf numFmtId="164" fontId="48" fillId="4" borderId="0" xfId="0" applyFont="1" applyFill="1" applyAlignment="1">
      <alignment horizontal="center" vertical="top"/>
    </xf>
    <xf numFmtId="3" fontId="53" fillId="8" borderId="9" xfId="0" applyNumberFormat="1" applyFont="1" applyFill="1" applyBorder="1" applyAlignment="1">
      <alignment horizontal="center"/>
    </xf>
    <xf numFmtId="3" fontId="20" fillId="8" borderId="9" xfId="0" applyNumberFormat="1" applyFont="1" applyFill="1" applyBorder="1" applyAlignment="1">
      <alignment horizontal="center"/>
    </xf>
    <xf numFmtId="3" fontId="20" fillId="8" borderId="10" xfId="0" applyNumberFormat="1" applyFont="1" applyFill="1" applyBorder="1" applyAlignment="1">
      <alignment horizontal="center"/>
    </xf>
    <xf numFmtId="164" fontId="20" fillId="8" borderId="8" xfId="0" applyFont="1" applyFill="1" applyBorder="1" applyAlignment="1">
      <alignment horizontal="right"/>
    </xf>
    <xf numFmtId="164" fontId="20" fillId="8" borderId="9" xfId="0" applyFont="1" applyFill="1" applyBorder="1" applyAlignment="1" applyProtection="1">
      <alignment horizontal="center"/>
      <protection locked="0"/>
    </xf>
    <xf numFmtId="3" fontId="20" fillId="8" borderId="9" xfId="0" applyNumberFormat="1" applyFont="1" applyFill="1" applyBorder="1" applyAlignment="1" applyProtection="1">
      <alignment horizontal="center"/>
      <protection locked="0"/>
    </xf>
    <xf numFmtId="168" fontId="20" fillId="8" borderId="9" xfId="0" applyNumberFormat="1" applyFont="1" applyFill="1" applyBorder="1" applyAlignment="1" applyProtection="1">
      <alignment horizontal="center"/>
      <protection locked="0"/>
    </xf>
    <xf numFmtId="168" fontId="20" fillId="8" borderId="11" xfId="0" applyNumberFormat="1" applyFont="1" applyFill="1" applyBorder="1" applyAlignment="1" applyProtection="1">
      <alignment horizontal="center"/>
      <protection locked="0"/>
    </xf>
    <xf numFmtId="3" fontId="20" fillId="8" borderId="11" xfId="0" applyNumberFormat="1" applyFont="1" applyFill="1" applyBorder="1" applyAlignment="1">
      <alignment horizontal="center"/>
    </xf>
    <xf numFmtId="3" fontId="20" fillId="8" borderId="12" xfId="0" applyNumberFormat="1" applyFont="1" applyFill="1" applyBorder="1" applyAlignment="1">
      <alignment horizontal="center"/>
    </xf>
    <xf numFmtId="3" fontId="20" fillId="8" borderId="13" xfId="0" applyNumberFormat="1" applyFont="1" applyFill="1" applyBorder="1" applyAlignment="1">
      <alignment horizontal="center"/>
    </xf>
    <xf numFmtId="164" fontId="20" fillId="8" borderId="8" xfId="0" applyFont="1" applyFill="1" applyBorder="1" applyAlignment="1">
      <alignment horizontal="left"/>
    </xf>
    <xf numFmtId="164" fontId="20" fillId="8" borderId="8" xfId="0" applyFont="1" applyFill="1" applyBorder="1" applyAlignment="1">
      <alignment horizontal="fill"/>
    </xf>
    <xf numFmtId="164" fontId="20" fillId="8" borderId="9" xfId="0" applyFont="1" applyFill="1" applyBorder="1" applyAlignment="1">
      <alignment horizontal="fill"/>
    </xf>
    <xf numFmtId="164" fontId="20" fillId="8" borderId="10" xfId="0" applyFont="1" applyFill="1" applyBorder="1" applyAlignment="1">
      <alignment horizontal="fill"/>
    </xf>
    <xf numFmtId="3" fontId="53" fillId="8" borderId="12" xfId="0" applyNumberFormat="1" applyFont="1" applyFill="1" applyBorder="1" applyAlignment="1">
      <alignment horizontal="center"/>
    </xf>
    <xf numFmtId="164" fontId="13" fillId="13" borderId="0" xfId="0" applyFont="1" applyFill="1" applyAlignment="1">
      <alignment horizontal="left"/>
    </xf>
    <xf numFmtId="164" fontId="0" fillId="14" borderId="0" xfId="0" applyFill="1"/>
    <xf numFmtId="164" fontId="19" fillId="14" borderId="0" xfId="0" applyFont="1" applyFill="1"/>
    <xf numFmtId="164" fontId="34" fillId="14" borderId="0" xfId="0" applyFont="1" applyFill="1"/>
    <xf numFmtId="164" fontId="15" fillId="14" borderId="0" xfId="0" applyFont="1" applyFill="1"/>
    <xf numFmtId="164" fontId="0" fillId="14" borderId="0" xfId="0" applyFill="1" applyAlignment="1">
      <alignment wrapText="1"/>
    </xf>
    <xf numFmtId="164" fontId="16" fillId="14" borderId="0" xfId="0" applyFont="1" applyFill="1"/>
    <xf numFmtId="164" fontId="10" fillId="14" borderId="0" xfId="0" applyFont="1" applyFill="1"/>
    <xf numFmtId="164" fontId="16" fillId="4" borderId="0" xfId="0" applyFont="1" applyFill="1" applyAlignment="1">
      <alignment wrapText="1"/>
    </xf>
    <xf numFmtId="164" fontId="43" fillId="4" borderId="18" xfId="0" applyFont="1" applyFill="1" applyBorder="1" applyAlignment="1">
      <alignment horizontal="center"/>
    </xf>
    <xf numFmtId="164" fontId="43" fillId="4" borderId="18" xfId="0" applyFont="1" applyFill="1" applyBorder="1"/>
    <xf numFmtId="164" fontId="36" fillId="4" borderId="18" xfId="0" applyFont="1" applyFill="1" applyBorder="1"/>
    <xf numFmtId="164" fontId="0" fillId="4" borderId="18" xfId="0" applyFill="1" applyBorder="1" applyAlignment="1">
      <alignment wrapText="1"/>
    </xf>
    <xf numFmtId="164" fontId="16" fillId="4" borderId="0" xfId="0" applyFont="1" applyFill="1" applyAlignment="1">
      <alignment horizontal="left"/>
    </xf>
    <xf numFmtId="164" fontId="16" fillId="4" borderId="0" xfId="0" applyFont="1" applyFill="1" applyAlignment="1">
      <alignment horizontal="left" wrapText="1"/>
    </xf>
    <xf numFmtId="164" fontId="16" fillId="4" borderId="6" xfId="0" applyFont="1" applyFill="1" applyBorder="1" applyAlignment="1">
      <alignment wrapText="1"/>
    </xf>
    <xf numFmtId="164" fontId="22" fillId="4" borderId="0" xfId="0" applyFont="1" applyFill="1"/>
    <xf numFmtId="164" fontId="66" fillId="4" borderId="0" xfId="0" applyFont="1" applyFill="1" applyAlignment="1">
      <alignment wrapText="1"/>
    </xf>
    <xf numFmtId="164" fontId="37" fillId="4" borderId="0" xfId="0" applyFont="1" applyFill="1" applyAlignment="1">
      <alignment wrapText="1"/>
    </xf>
    <xf numFmtId="164" fontId="35" fillId="4" borderId="0" xfId="0" applyFont="1" applyFill="1" applyAlignment="1">
      <alignment wrapText="1"/>
    </xf>
    <xf numFmtId="164" fontId="22" fillId="4" borderId="0" xfId="0" applyFont="1" applyFill="1" applyAlignment="1">
      <alignment wrapText="1"/>
    </xf>
    <xf numFmtId="164" fontId="16" fillId="4" borderId="0" xfId="0" applyFont="1" applyFill="1"/>
    <xf numFmtId="164" fontId="20" fillId="4" borderId="0" xfId="0" applyFont="1" applyFill="1" applyAlignment="1">
      <alignment horizontal="center" wrapText="1"/>
    </xf>
    <xf numFmtId="164" fontId="43" fillId="4" borderId="0" xfId="0" applyFont="1" applyFill="1" applyAlignment="1">
      <alignment horizontal="center"/>
    </xf>
    <xf numFmtId="164" fontId="65" fillId="4" borderId="0" xfId="0" applyFont="1" applyFill="1" applyAlignment="1">
      <alignment horizontal="center" wrapText="1"/>
    </xf>
    <xf numFmtId="164" fontId="15" fillId="4" borderId="0" xfId="0" applyFont="1" applyFill="1" applyAlignment="1">
      <alignment horizontal="center" wrapText="1"/>
    </xf>
    <xf numFmtId="164" fontId="73" fillId="4" borderId="0" xfId="3" applyFont="1" applyFill="1" applyBorder="1"/>
    <xf numFmtId="164" fontId="74" fillId="4" borderId="0" xfId="0" applyFont="1" applyFill="1"/>
    <xf numFmtId="164" fontId="73" fillId="4" borderId="0" xfId="3" applyFont="1" applyFill="1" applyBorder="1" applyAlignment="1"/>
    <xf numFmtId="164" fontId="73" fillId="4" borderId="0" xfId="3" applyFont="1" applyFill="1" applyBorder="1" applyAlignment="1">
      <alignment wrapText="1"/>
    </xf>
    <xf numFmtId="164" fontId="13" fillId="4" borderId="0" xfId="0" applyFont="1" applyFill="1"/>
    <xf numFmtId="164" fontId="13" fillId="4" borderId="0" xfId="0" applyFont="1" applyFill="1" applyAlignment="1">
      <alignment horizontal="right"/>
    </xf>
    <xf numFmtId="164" fontId="13" fillId="4" borderId="0" xfId="0" applyFont="1" applyFill="1" applyAlignment="1">
      <alignment wrapText="1"/>
    </xf>
    <xf numFmtId="164" fontId="75" fillId="4" borderId="18" xfId="3" applyFont="1" applyFill="1" applyBorder="1" applyAlignment="1">
      <alignment horizontal="right"/>
    </xf>
    <xf numFmtId="49" fontId="15" fillId="4" borderId="0" xfId="0" applyNumberFormat="1" applyFont="1" applyFill="1" applyAlignment="1">
      <alignment wrapText="1"/>
    </xf>
    <xf numFmtId="49" fontId="74" fillId="4" borderId="0" xfId="0" applyNumberFormat="1" applyFont="1" applyFill="1"/>
    <xf numFmtId="49" fontId="15" fillId="4" borderId="0" xfId="0" applyNumberFormat="1" applyFont="1" applyFill="1"/>
    <xf numFmtId="164" fontId="16" fillId="4" borderId="10" xfId="0" applyFont="1" applyFill="1" applyBorder="1" applyAlignment="1">
      <alignment horizontal="center" wrapText="1"/>
    </xf>
    <xf numFmtId="164" fontId="16" fillId="4" borderId="1" xfId="0" applyFont="1" applyFill="1" applyBorder="1" applyAlignment="1">
      <alignment horizontal="center" wrapText="1"/>
    </xf>
    <xf numFmtId="164" fontId="49" fillId="4" borderId="0" xfId="0" applyFont="1" applyFill="1" applyAlignment="1">
      <alignment horizontal="left"/>
    </xf>
    <xf numFmtId="164" fontId="16" fillId="4" borderId="1" xfId="0" applyFont="1" applyFill="1" applyBorder="1"/>
    <xf numFmtId="164" fontId="46" fillId="4" borderId="0" xfId="0" applyFont="1" applyFill="1"/>
    <xf numFmtId="164" fontId="40" fillId="4" borderId="0" xfId="0" applyFont="1" applyFill="1"/>
    <xf numFmtId="49" fontId="16" fillId="4" borderId="1" xfId="0" applyNumberFormat="1" applyFont="1" applyFill="1" applyBorder="1" applyAlignment="1">
      <alignment horizontal="center" wrapText="1"/>
    </xf>
    <xf numFmtId="164" fontId="16" fillId="4" borderId="8" xfId="0" applyFont="1" applyFill="1" applyBorder="1"/>
    <xf numFmtId="164" fontId="0" fillId="4" borderId="9" xfId="0" applyFill="1" applyBorder="1"/>
    <xf numFmtId="164" fontId="0" fillId="4" borderId="11" xfId="0" applyFill="1" applyBorder="1"/>
    <xf numFmtId="164" fontId="16" fillId="4" borderId="1" xfId="0" applyFont="1" applyFill="1" applyBorder="1" applyAlignment="1">
      <alignment horizontal="center"/>
    </xf>
    <xf numFmtId="49" fontId="40" fillId="4" borderId="0" xfId="0" applyNumberFormat="1" applyFont="1" applyFill="1"/>
    <xf numFmtId="49" fontId="40" fillId="4" borderId="1" xfId="0" applyNumberFormat="1" applyFont="1" applyFill="1" applyBorder="1"/>
    <xf numFmtId="49" fontId="16" fillId="4" borderId="0" xfId="0" applyNumberFormat="1" applyFont="1" applyFill="1"/>
    <xf numFmtId="164" fontId="10" fillId="4" borderId="1" xfId="0" applyFont="1" applyFill="1" applyBorder="1"/>
    <xf numFmtId="49" fontId="0" fillId="4" borderId="0" xfId="0" applyNumberFormat="1" applyFill="1" applyAlignment="1">
      <alignment wrapText="1"/>
    </xf>
    <xf numFmtId="49" fontId="16" fillId="4" borderId="1" xfId="0" applyNumberFormat="1" applyFont="1" applyFill="1" applyBorder="1" applyAlignment="1">
      <alignment horizontal="right"/>
    </xf>
    <xf numFmtId="49" fontId="16" fillId="4" borderId="1" xfId="0" applyNumberFormat="1" applyFont="1" applyFill="1" applyBorder="1" applyAlignment="1">
      <alignment horizontal="center"/>
    </xf>
    <xf numFmtId="49" fontId="22" fillId="4" borderId="0" xfId="0" applyNumberFormat="1" applyFont="1" applyFill="1"/>
    <xf numFmtId="49" fontId="15" fillId="14" borderId="14" xfId="0" applyNumberFormat="1" applyFont="1" applyFill="1" applyBorder="1" applyAlignment="1">
      <alignment wrapText="1"/>
    </xf>
    <xf numFmtId="164" fontId="0" fillId="14" borderId="18" xfId="0" applyFill="1" applyBorder="1"/>
    <xf numFmtId="49" fontId="74" fillId="14" borderId="14" xfId="0" applyNumberFormat="1" applyFont="1" applyFill="1" applyBorder="1"/>
    <xf numFmtId="164" fontId="20" fillId="14" borderId="0" xfId="0" applyFont="1" applyFill="1"/>
    <xf numFmtId="164" fontId="14" fillId="14" borderId="0" xfId="0" applyFont="1" applyFill="1"/>
    <xf numFmtId="49" fontId="74" fillId="14" borderId="20" xfId="0" applyNumberFormat="1" applyFont="1" applyFill="1" applyBorder="1"/>
    <xf numFmtId="164" fontId="0" fillId="14" borderId="6" xfId="0" applyFill="1" applyBorder="1"/>
    <xf numFmtId="164" fontId="10" fillId="14" borderId="6" xfId="0" applyFont="1" applyFill="1" applyBorder="1"/>
    <xf numFmtId="164" fontId="14" fillId="14" borderId="6" xfId="0" applyFont="1" applyFill="1" applyBorder="1"/>
    <xf numFmtId="164" fontId="0" fillId="14" borderId="21" xfId="0" applyFill="1" applyBorder="1"/>
    <xf numFmtId="3" fontId="53" fillId="8" borderId="9" xfId="0" applyNumberFormat="1" applyFont="1" applyFill="1" applyBorder="1" applyAlignment="1" applyProtection="1">
      <alignment horizontal="right"/>
      <protection locked="0"/>
    </xf>
    <xf numFmtId="3" fontId="53" fillId="8" borderId="9" xfId="0" applyNumberFormat="1" applyFont="1" applyFill="1" applyBorder="1" applyAlignment="1">
      <alignment horizontal="left"/>
    </xf>
    <xf numFmtId="3" fontId="53" fillId="8" borderId="9" xfId="0" applyNumberFormat="1" applyFont="1" applyFill="1" applyBorder="1" applyAlignment="1">
      <alignment horizontal="right"/>
    </xf>
    <xf numFmtId="164" fontId="35" fillId="0" borderId="0" xfId="0" applyFont="1" applyAlignment="1">
      <alignment horizontal="center" vertical="top"/>
    </xf>
    <xf numFmtId="164" fontId="35" fillId="0" borderId="0" xfId="0" applyFont="1" applyAlignment="1">
      <alignment horizontal="center"/>
    </xf>
    <xf numFmtId="164" fontId="55" fillId="0" borderId="0" xfId="0" applyFont="1" applyAlignment="1">
      <alignment horizontal="center"/>
    </xf>
    <xf numFmtId="168" fontId="53" fillId="8" borderId="9" xfId="0" applyNumberFormat="1" applyFont="1" applyFill="1" applyBorder="1" applyAlignment="1" applyProtection="1">
      <alignment horizontal="left"/>
      <protection locked="0"/>
    </xf>
    <xf numFmtId="164" fontId="78" fillId="4" borderId="2" xfId="0" applyFont="1" applyFill="1" applyBorder="1" applyAlignment="1">
      <alignment horizontal="center"/>
    </xf>
    <xf numFmtId="164" fontId="78" fillId="4" borderId="87" xfId="0" applyFont="1" applyFill="1" applyBorder="1" applyAlignment="1">
      <alignment horizontal="center"/>
    </xf>
    <xf numFmtId="3" fontId="77" fillId="4" borderId="0" xfId="0" applyNumberFormat="1" applyFont="1" applyFill="1" applyAlignment="1">
      <alignment horizontal="center"/>
    </xf>
    <xf numFmtId="164" fontId="77" fillId="4" borderId="0" xfId="0" applyFont="1" applyFill="1"/>
    <xf numFmtId="164" fontId="77" fillId="4" borderId="0" xfId="0" applyFont="1" applyFill="1" applyAlignment="1">
      <alignment horizontal="right"/>
    </xf>
    <xf numFmtId="164" fontId="77" fillId="4" borderId="18" xfId="0" applyFont="1" applyFill="1" applyBorder="1"/>
    <xf numFmtId="164" fontId="77" fillId="4" borderId="21" xfId="0" applyFont="1" applyFill="1" applyBorder="1"/>
    <xf numFmtId="3" fontId="77" fillId="15" borderId="0" xfId="0" applyNumberFormat="1" applyFont="1" applyFill="1" applyAlignment="1">
      <alignment horizontal="center"/>
    </xf>
    <xf numFmtId="164" fontId="78" fillId="4" borderId="12" xfId="0" applyFont="1" applyFill="1" applyBorder="1" applyAlignment="1">
      <alignment horizontal="center"/>
    </xf>
    <xf numFmtId="164" fontId="78" fillId="4" borderId="90" xfId="0" applyFont="1" applyFill="1" applyBorder="1"/>
    <xf numFmtId="164" fontId="78" fillId="4" borderId="37" xfId="0" applyFont="1" applyFill="1" applyBorder="1" applyAlignment="1">
      <alignment horizontal="center"/>
    </xf>
    <xf numFmtId="164" fontId="77" fillId="0" borderId="14" xfId="0" applyFont="1" applyBorder="1"/>
    <xf numFmtId="164" fontId="77" fillId="4" borderId="91" xfId="0" applyFont="1" applyFill="1" applyBorder="1"/>
    <xf numFmtId="164" fontId="77" fillId="4" borderId="92" xfId="0" applyFont="1" applyFill="1" applyBorder="1"/>
    <xf numFmtId="164" fontId="77" fillId="4" borderId="92" xfId="0" applyFont="1" applyFill="1" applyBorder="1" applyAlignment="1">
      <alignment horizontal="right"/>
    </xf>
    <xf numFmtId="3" fontId="77" fillId="4" borderId="7" xfId="0" applyNumberFormat="1" applyFont="1" applyFill="1" applyBorder="1" applyAlignment="1">
      <alignment horizontal="center"/>
    </xf>
    <xf numFmtId="3" fontId="77" fillId="4" borderId="80" xfId="0" applyNumberFormat="1" applyFont="1" applyFill="1" applyBorder="1" applyAlignment="1">
      <alignment horizontal="center"/>
    </xf>
    <xf numFmtId="3" fontId="77" fillId="15" borderId="80" xfId="0" applyNumberFormat="1" applyFont="1" applyFill="1" applyBorder="1" applyAlignment="1">
      <alignment horizontal="center"/>
    </xf>
    <xf numFmtId="164" fontId="77" fillId="4" borderId="22" xfId="0" applyFont="1" applyFill="1" applyBorder="1"/>
    <xf numFmtId="164" fontId="77" fillId="4" borderId="19" xfId="0" applyFont="1" applyFill="1" applyBorder="1"/>
    <xf numFmtId="164" fontId="77" fillId="4" borderId="24" xfId="0" applyFont="1" applyFill="1" applyBorder="1" applyAlignment="1">
      <alignment horizontal="left"/>
    </xf>
    <xf numFmtId="164" fontId="77" fillId="4" borderId="23" xfId="0" applyFont="1" applyFill="1" applyBorder="1" applyAlignment="1">
      <alignment horizontal="left"/>
    </xf>
    <xf numFmtId="164" fontId="77" fillId="4" borderId="23" xfId="0" applyFont="1" applyFill="1" applyBorder="1"/>
    <xf numFmtId="164" fontId="78" fillId="4" borderId="93" xfId="0" applyFont="1" applyFill="1" applyBorder="1"/>
    <xf numFmtId="3" fontId="78" fillId="4" borderId="6" xfId="0" applyNumberFormat="1" applyFont="1" applyFill="1" applyBorder="1" applyAlignment="1">
      <alignment horizontal="center"/>
    </xf>
    <xf numFmtId="3" fontId="78" fillId="4" borderId="94" xfId="0" applyNumberFormat="1" applyFont="1" applyFill="1" applyBorder="1" applyAlignment="1">
      <alignment horizontal="center"/>
    </xf>
    <xf numFmtId="164" fontId="78" fillId="4" borderId="95" xfId="0" applyFont="1" applyFill="1" applyBorder="1"/>
    <xf numFmtId="164" fontId="78" fillId="4" borderId="43" xfId="0" applyFont="1" applyFill="1" applyBorder="1"/>
    <xf numFmtId="164" fontId="78" fillId="4" borderId="6" xfId="0" applyFont="1" applyFill="1" applyBorder="1"/>
    <xf numFmtId="3" fontId="77" fillId="4" borderId="12" xfId="0" applyNumberFormat="1" applyFont="1" applyFill="1" applyBorder="1" applyAlignment="1">
      <alignment horizontal="center"/>
    </xf>
    <xf numFmtId="3" fontId="77" fillId="4" borderId="2" xfId="0" applyNumberFormat="1" applyFont="1" applyFill="1" applyBorder="1" applyAlignment="1">
      <alignment horizontal="center"/>
    </xf>
    <xf numFmtId="164" fontId="77" fillId="4" borderId="26" xfId="0" applyFont="1" applyFill="1" applyBorder="1"/>
    <xf numFmtId="164" fontId="77" fillId="4" borderId="13" xfId="0" applyFont="1" applyFill="1" applyBorder="1"/>
    <xf numFmtId="164" fontId="77" fillId="4" borderId="12" xfId="0" applyFont="1" applyFill="1" applyBorder="1"/>
    <xf numFmtId="164" fontId="77" fillId="4" borderId="42" xfId="0" applyFont="1" applyFill="1" applyBorder="1"/>
    <xf numFmtId="3" fontId="77" fillId="0" borderId="0" xfId="0" applyNumberFormat="1" applyFont="1" applyAlignment="1">
      <alignment horizontal="center"/>
    </xf>
    <xf numFmtId="3" fontId="77" fillId="0" borderId="18" xfId="0" applyNumberFormat="1" applyFont="1" applyBorder="1" applyAlignment="1">
      <alignment horizontal="center"/>
    </xf>
    <xf numFmtId="164" fontId="78" fillId="0" borderId="14" xfId="0" applyFont="1" applyBorder="1"/>
    <xf numFmtId="3" fontId="78" fillId="0" borderId="0" xfId="0" applyNumberFormat="1" applyFont="1" applyAlignment="1">
      <alignment horizontal="center"/>
    </xf>
    <xf numFmtId="3" fontId="78" fillId="0" borderId="18" xfId="0" applyNumberFormat="1" applyFont="1" applyBorder="1" applyAlignment="1">
      <alignment horizontal="center"/>
    </xf>
    <xf numFmtId="164" fontId="78" fillId="0" borderId="20" xfId="0" applyFont="1" applyBorder="1"/>
    <xf numFmtId="3" fontId="78" fillId="0" borderId="6" xfId="0" applyNumberFormat="1" applyFont="1" applyBorder="1" applyAlignment="1">
      <alignment horizontal="center"/>
    </xf>
    <xf numFmtId="3" fontId="78" fillId="0" borderId="21" xfId="0" applyNumberFormat="1" applyFont="1" applyBorder="1" applyAlignment="1">
      <alignment horizontal="center"/>
    </xf>
    <xf numFmtId="164" fontId="77" fillId="0" borderId="41" xfId="0" applyFont="1" applyBorder="1"/>
    <xf numFmtId="3" fontId="77" fillId="0" borderId="12" xfId="0" applyNumberFormat="1" applyFont="1" applyBorder="1" applyAlignment="1">
      <alignment horizontal="center"/>
    </xf>
    <xf numFmtId="3" fontId="77" fillId="0" borderId="42" xfId="0" applyNumberFormat="1" applyFont="1" applyBorder="1" applyAlignment="1">
      <alignment horizontal="center"/>
    </xf>
    <xf numFmtId="164" fontId="78" fillId="0" borderId="81" xfId="0" applyFont="1" applyBorder="1" applyAlignment="1">
      <alignment vertical="center"/>
    </xf>
    <xf numFmtId="164" fontId="78" fillId="0" borderId="96" xfId="0" applyFont="1" applyBorder="1" applyAlignment="1">
      <alignment vertical="center"/>
    </xf>
    <xf numFmtId="3" fontId="78" fillId="0" borderId="27" xfId="0" applyNumberFormat="1" applyFont="1" applyBorder="1" applyAlignment="1">
      <alignment horizontal="center"/>
    </xf>
    <xf numFmtId="3" fontId="78" fillId="0" borderId="97" xfId="0" applyNumberFormat="1" applyFont="1" applyBorder="1" applyAlignment="1">
      <alignment horizontal="center"/>
    </xf>
    <xf numFmtId="164" fontId="0" fillId="0" borderId="41" xfId="0" applyBorder="1"/>
    <xf numFmtId="164" fontId="0" fillId="0" borderId="38" xfId="0" applyBorder="1"/>
    <xf numFmtId="164" fontId="77" fillId="0" borderId="0" xfId="0" applyFont="1"/>
    <xf numFmtId="164" fontId="78" fillId="0" borderId="0" xfId="0" applyFont="1" applyAlignment="1">
      <alignment horizontal="center"/>
    </xf>
    <xf numFmtId="3" fontId="77" fillId="0" borderId="7" xfId="0" applyNumberFormat="1" applyFont="1" applyBorder="1" applyAlignment="1">
      <alignment horizontal="center"/>
    </xf>
    <xf numFmtId="3" fontId="77" fillId="0" borderId="80" xfId="0" applyNumberFormat="1" applyFont="1" applyBorder="1" applyAlignment="1">
      <alignment horizontal="center"/>
    </xf>
    <xf numFmtId="3" fontId="77" fillId="0" borderId="2" xfId="0" applyNumberFormat="1" applyFont="1" applyBorder="1" applyAlignment="1">
      <alignment horizontal="center"/>
    </xf>
    <xf numFmtId="3" fontId="78" fillId="0" borderId="80" xfId="0" applyNumberFormat="1" applyFont="1" applyBorder="1" applyAlignment="1">
      <alignment horizontal="center"/>
    </xf>
    <xf numFmtId="3" fontId="78" fillId="0" borderId="94" xfId="0" applyNumberFormat="1" applyFont="1" applyBorder="1" applyAlignment="1">
      <alignment horizontal="center"/>
    </xf>
    <xf numFmtId="164" fontId="77" fillId="0" borderId="0" xfId="0" applyFont="1" applyAlignment="1">
      <alignment horizontal="center"/>
    </xf>
    <xf numFmtId="164" fontId="78" fillId="4" borderId="12" xfId="0" applyFont="1" applyFill="1" applyBorder="1" applyAlignment="1">
      <alignment horizontal="center" vertical="top"/>
    </xf>
    <xf numFmtId="164" fontId="78" fillId="4" borderId="15" xfId="0" applyFont="1" applyFill="1" applyBorder="1" applyAlignment="1">
      <alignment horizontal="center"/>
    </xf>
    <xf numFmtId="164" fontId="78" fillId="4" borderId="14" xfId="0" applyFont="1" applyFill="1" applyBorder="1" applyAlignment="1">
      <alignment horizontal="center"/>
    </xf>
    <xf numFmtId="164" fontId="78" fillId="4" borderId="41" xfId="0" applyFont="1" applyFill="1" applyBorder="1" applyAlignment="1">
      <alignment horizontal="center" vertical="top"/>
    </xf>
    <xf numFmtId="164" fontId="80" fillId="0" borderId="0" xfId="0" applyFont="1"/>
    <xf numFmtId="164" fontId="78" fillId="4" borderId="36" xfId="0" applyFont="1" applyFill="1" applyBorder="1"/>
    <xf numFmtId="164" fontId="78" fillId="4" borderId="87" xfId="0" applyFont="1" applyFill="1" applyBorder="1"/>
    <xf numFmtId="164" fontId="79" fillId="4" borderId="87" xfId="0" applyFont="1" applyFill="1" applyBorder="1" applyAlignment="1">
      <alignment horizontal="center"/>
    </xf>
    <xf numFmtId="164" fontId="78" fillId="4" borderId="89" xfId="0" applyFont="1" applyFill="1" applyBorder="1" applyAlignment="1">
      <alignment horizontal="center"/>
    </xf>
    <xf numFmtId="164" fontId="78" fillId="4" borderId="98" xfId="0" applyFont="1" applyFill="1" applyBorder="1" applyAlignment="1">
      <alignment horizontal="center"/>
    </xf>
    <xf numFmtId="164" fontId="78" fillId="4" borderId="80" xfId="0" applyFont="1" applyFill="1" applyBorder="1" applyAlignment="1">
      <alignment horizontal="center"/>
    </xf>
    <xf numFmtId="164" fontId="79" fillId="4" borderId="80" xfId="0" applyFont="1" applyFill="1" applyBorder="1" applyAlignment="1">
      <alignment horizontal="center"/>
    </xf>
    <xf numFmtId="164" fontId="78" fillId="4" borderId="19" xfId="0" applyFont="1" applyFill="1" applyBorder="1" applyAlignment="1">
      <alignment horizontal="center"/>
    </xf>
    <xf numFmtId="164" fontId="78" fillId="4" borderId="23" xfId="0" applyFont="1" applyFill="1" applyBorder="1" applyAlignment="1">
      <alignment horizontal="center"/>
    </xf>
    <xf numFmtId="164" fontId="78" fillId="4" borderId="27" xfId="0" applyFont="1" applyFill="1" applyBorder="1" applyAlignment="1">
      <alignment horizontal="center"/>
    </xf>
    <xf numFmtId="164" fontId="78" fillId="4" borderId="2" xfId="0" applyFont="1" applyFill="1" applyBorder="1" applyAlignment="1">
      <alignment horizontal="center" vertical="top"/>
    </xf>
    <xf numFmtId="164" fontId="79" fillId="4" borderId="2" xfId="0" applyFont="1" applyFill="1" applyBorder="1" applyAlignment="1">
      <alignment horizontal="center" vertical="top"/>
    </xf>
    <xf numFmtId="164" fontId="78" fillId="4" borderId="13" xfId="0" applyFont="1" applyFill="1" applyBorder="1" applyAlignment="1">
      <alignment horizontal="center" vertical="top"/>
    </xf>
    <xf numFmtId="164" fontId="78" fillId="4" borderId="26" xfId="0" applyFont="1" applyFill="1" applyBorder="1" applyAlignment="1">
      <alignment horizontal="center"/>
    </xf>
    <xf numFmtId="164" fontId="78" fillId="4" borderId="38" xfId="0" applyFont="1" applyFill="1" applyBorder="1" applyAlignment="1">
      <alignment horizontal="center"/>
    </xf>
    <xf numFmtId="164" fontId="77" fillId="4" borderId="14" xfId="0" applyFont="1" applyFill="1" applyBorder="1" applyAlignment="1">
      <alignment horizontal="center"/>
    </xf>
    <xf numFmtId="164" fontId="77" fillId="4" borderId="7" xfId="0" applyFont="1" applyFill="1" applyBorder="1" applyAlignment="1">
      <alignment horizontal="center"/>
    </xf>
    <xf numFmtId="164" fontId="77" fillId="4" borderId="18" xfId="0" applyFont="1" applyFill="1" applyBorder="1" applyAlignment="1">
      <alignment horizontal="center"/>
    </xf>
    <xf numFmtId="164" fontId="77" fillId="4" borderId="80" xfId="0" applyFont="1" applyFill="1" applyBorder="1" applyAlignment="1">
      <alignment horizontal="center"/>
    </xf>
    <xf numFmtId="3" fontId="77" fillId="4" borderId="23" xfId="0" applyNumberFormat="1" applyFont="1" applyFill="1" applyBorder="1" applyAlignment="1">
      <alignment horizontal="center"/>
    </xf>
    <xf numFmtId="3" fontId="77" fillId="4" borderId="24" xfId="0" applyNumberFormat="1" applyFont="1" applyFill="1" applyBorder="1" applyAlignment="1">
      <alignment horizontal="center"/>
    </xf>
    <xf numFmtId="3" fontId="77" fillId="4" borderId="100" xfId="0" applyNumberFormat="1" applyFont="1" applyFill="1" applyBorder="1" applyAlignment="1">
      <alignment horizontal="center"/>
    </xf>
    <xf numFmtId="3" fontId="77" fillId="4" borderId="27" xfId="0" applyNumberFormat="1" applyFont="1" applyFill="1" applyBorder="1" applyAlignment="1">
      <alignment horizontal="center"/>
    </xf>
    <xf numFmtId="164" fontId="77" fillId="4" borderId="41" xfId="0" applyFont="1" applyFill="1" applyBorder="1" applyAlignment="1">
      <alignment horizontal="center"/>
    </xf>
    <xf numFmtId="3" fontId="77" fillId="4" borderId="26" xfId="0" applyNumberFormat="1" applyFont="1" applyFill="1" applyBorder="1" applyAlignment="1">
      <alignment horizontal="center"/>
    </xf>
    <xf numFmtId="3" fontId="77" fillId="4" borderId="38" xfId="0" applyNumberFormat="1" applyFont="1" applyFill="1" applyBorder="1" applyAlignment="1">
      <alignment horizontal="center"/>
    </xf>
    <xf numFmtId="3" fontId="78" fillId="4" borderId="99" xfId="0" applyNumberFormat="1" applyFont="1" applyFill="1" applyBorder="1" applyAlignment="1">
      <alignment horizontal="center" vertical="center"/>
    </xf>
    <xf numFmtId="164" fontId="78" fillId="4" borderId="17" xfId="0" applyFont="1" applyFill="1" applyBorder="1"/>
    <xf numFmtId="164" fontId="78" fillId="4" borderId="18" xfId="0" applyFont="1" applyFill="1" applyBorder="1" applyAlignment="1">
      <alignment horizontal="center"/>
    </xf>
    <xf numFmtId="164" fontId="78" fillId="4" borderId="42" xfId="0" applyFont="1" applyFill="1" applyBorder="1" applyAlignment="1">
      <alignment horizontal="center" vertical="top"/>
    </xf>
    <xf numFmtId="164" fontId="77" fillId="4" borderId="2" xfId="0" applyFont="1" applyFill="1" applyBorder="1" applyAlignment="1">
      <alignment horizontal="center"/>
    </xf>
    <xf numFmtId="164" fontId="77" fillId="4" borderId="42" xfId="0" applyFont="1" applyFill="1" applyBorder="1" applyAlignment="1">
      <alignment horizontal="center"/>
    </xf>
    <xf numFmtId="3" fontId="78" fillId="0" borderId="45" xfId="0" applyNumberFormat="1" applyFont="1" applyBorder="1" applyAlignment="1">
      <alignment horizontal="center"/>
    </xf>
    <xf numFmtId="3" fontId="78" fillId="0" borderId="46" xfId="0" applyNumberFormat="1" applyFont="1" applyBorder="1" applyAlignment="1">
      <alignment horizontal="center"/>
    </xf>
    <xf numFmtId="164" fontId="77" fillId="4" borderId="91" xfId="0" applyFont="1" applyFill="1" applyBorder="1" applyAlignment="1">
      <alignment horizontal="center" vertical="center"/>
    </xf>
    <xf numFmtId="164" fontId="77" fillId="4" borderId="7" xfId="0" applyFont="1" applyFill="1" applyBorder="1" applyAlignment="1">
      <alignment horizontal="center" vertical="center"/>
    </xf>
    <xf numFmtId="3" fontId="77" fillId="4" borderId="22" xfId="0" applyNumberFormat="1" applyFont="1" applyFill="1" applyBorder="1" applyAlignment="1">
      <alignment horizontal="center" vertical="center"/>
    </xf>
    <xf numFmtId="3" fontId="77" fillId="4" borderId="84" xfId="0" applyNumberFormat="1" applyFont="1" applyFill="1" applyBorder="1" applyAlignment="1">
      <alignment horizontal="center" vertical="center"/>
    </xf>
    <xf numFmtId="164" fontId="77" fillId="4" borderId="92" xfId="0" applyFont="1" applyFill="1" applyBorder="1" applyAlignment="1">
      <alignment horizontal="center" vertical="center"/>
    </xf>
    <xf numFmtId="164" fontId="77" fillId="4" borderId="80" xfId="0" applyFont="1" applyFill="1" applyBorder="1" applyAlignment="1">
      <alignment horizontal="center" vertical="center"/>
    </xf>
    <xf numFmtId="3" fontId="77" fillId="4" borderId="19" xfId="0" applyNumberFormat="1" applyFont="1" applyFill="1" applyBorder="1" applyAlignment="1">
      <alignment horizontal="center" vertical="center"/>
    </xf>
    <xf numFmtId="3" fontId="77" fillId="4" borderId="18" xfId="0" applyNumberFormat="1" applyFont="1" applyFill="1" applyBorder="1" applyAlignment="1">
      <alignment horizontal="center" vertical="center"/>
    </xf>
    <xf numFmtId="164" fontId="77" fillId="4" borderId="37" xfId="0" applyFont="1" applyFill="1" applyBorder="1" applyAlignment="1">
      <alignment horizontal="center" vertical="center"/>
    </xf>
    <xf numFmtId="164" fontId="77" fillId="4" borderId="2" xfId="0" applyFont="1" applyFill="1" applyBorder="1" applyAlignment="1">
      <alignment horizontal="center" vertical="center"/>
    </xf>
    <xf numFmtId="3" fontId="77" fillId="4" borderId="13" xfId="0" applyNumberFormat="1" applyFont="1" applyFill="1" applyBorder="1" applyAlignment="1">
      <alignment horizontal="center" vertical="center"/>
    </xf>
    <xf numFmtId="3" fontId="77" fillId="4" borderId="42" xfId="0" applyNumberFormat="1" applyFont="1" applyFill="1" applyBorder="1" applyAlignment="1">
      <alignment horizontal="center" vertical="center"/>
    </xf>
    <xf numFmtId="3" fontId="78" fillId="4" borderId="46" xfId="0" applyNumberFormat="1" applyFont="1" applyFill="1" applyBorder="1" applyAlignment="1">
      <alignment horizontal="center" vertical="center"/>
    </xf>
    <xf numFmtId="3" fontId="78" fillId="0" borderId="103" xfId="0" applyNumberFormat="1" applyFont="1" applyBorder="1" applyAlignment="1">
      <alignment horizontal="center"/>
    </xf>
    <xf numFmtId="164" fontId="78" fillId="4" borderId="90" xfId="0" applyFont="1" applyFill="1" applyBorder="1" applyAlignment="1">
      <alignment horizontal="center"/>
    </xf>
    <xf numFmtId="164" fontId="78" fillId="4" borderId="92" xfId="0" applyFont="1" applyFill="1" applyBorder="1" applyAlignment="1">
      <alignment horizontal="center"/>
    </xf>
    <xf numFmtId="164" fontId="78" fillId="4" borderId="37" xfId="0" applyFont="1" applyFill="1" applyBorder="1" applyAlignment="1">
      <alignment horizontal="center" vertical="top"/>
    </xf>
    <xf numFmtId="164" fontId="77" fillId="4" borderId="91" xfId="0" applyFont="1" applyFill="1" applyBorder="1" applyAlignment="1">
      <alignment horizontal="center"/>
    </xf>
    <xf numFmtId="3" fontId="77" fillId="4" borderId="18" xfId="0" applyNumberFormat="1" applyFont="1" applyFill="1" applyBorder="1" applyAlignment="1">
      <alignment horizontal="center"/>
    </xf>
    <xf numFmtId="164" fontId="77" fillId="4" borderId="92" xfId="0" applyFont="1" applyFill="1" applyBorder="1" applyAlignment="1">
      <alignment horizontal="center"/>
    </xf>
    <xf numFmtId="164" fontId="77" fillId="4" borderId="37" xfId="0" applyFont="1" applyFill="1" applyBorder="1" applyAlignment="1">
      <alignment horizontal="center"/>
    </xf>
    <xf numFmtId="3" fontId="77" fillId="4" borderId="42" xfId="0" applyNumberFormat="1" applyFont="1" applyFill="1" applyBorder="1" applyAlignment="1">
      <alignment horizontal="center"/>
    </xf>
    <xf numFmtId="3" fontId="78" fillId="4" borderId="44" xfId="0" applyNumberFormat="1" applyFont="1" applyFill="1" applyBorder="1" applyAlignment="1">
      <alignment horizontal="center"/>
    </xf>
    <xf numFmtId="3" fontId="78" fillId="4" borderId="45" xfId="0" applyNumberFormat="1" applyFont="1" applyFill="1" applyBorder="1" applyAlignment="1">
      <alignment horizontal="center"/>
    </xf>
    <xf numFmtId="3" fontId="78" fillId="4" borderId="104" xfId="0" applyNumberFormat="1" applyFont="1" applyFill="1" applyBorder="1" applyAlignment="1">
      <alignment horizontal="center"/>
    </xf>
    <xf numFmtId="164" fontId="80" fillId="4" borderId="82" xfId="0" applyFont="1" applyFill="1" applyBorder="1"/>
    <xf numFmtId="164" fontId="80" fillId="4" borderId="82" xfId="0" applyFont="1" applyFill="1" applyBorder="1" applyAlignment="1">
      <alignment horizontal="center" vertical="center"/>
    </xf>
    <xf numFmtId="164" fontId="80" fillId="4" borderId="83" xfId="0" applyFont="1" applyFill="1" applyBorder="1" applyAlignment="1">
      <alignment horizontal="center" vertical="center"/>
    </xf>
    <xf numFmtId="164" fontId="80" fillId="4" borderId="14" xfId="0" applyFont="1" applyFill="1" applyBorder="1"/>
    <xf numFmtId="164" fontId="0" fillId="4" borderId="24" xfId="0" applyFill="1" applyBorder="1"/>
    <xf numFmtId="164" fontId="0" fillId="4" borderId="100" xfId="0" applyFill="1" applyBorder="1"/>
    <xf numFmtId="164" fontId="77" fillId="4" borderId="14" xfId="0" applyFont="1" applyFill="1" applyBorder="1"/>
    <xf numFmtId="164" fontId="77" fillId="4" borderId="20" xfId="0" applyFont="1" applyFill="1" applyBorder="1"/>
    <xf numFmtId="3" fontId="77" fillId="4" borderId="95" xfId="0" applyNumberFormat="1" applyFont="1" applyFill="1" applyBorder="1" applyAlignment="1">
      <alignment horizontal="center"/>
    </xf>
    <xf numFmtId="3" fontId="77" fillId="4" borderId="97" xfId="0" applyNumberFormat="1" applyFont="1" applyFill="1" applyBorder="1" applyAlignment="1">
      <alignment horizontal="center"/>
    </xf>
    <xf numFmtId="164" fontId="77" fillId="4" borderId="41" xfId="0" applyFont="1" applyFill="1" applyBorder="1"/>
    <xf numFmtId="164" fontId="83" fillId="4" borderId="0" xfId="0" applyFont="1" applyFill="1"/>
    <xf numFmtId="164" fontId="80" fillId="4" borderId="0" xfId="0" applyFont="1" applyFill="1" applyAlignment="1">
      <alignment horizontal="right"/>
    </xf>
    <xf numFmtId="164" fontId="80" fillId="4" borderId="0" xfId="0" applyFont="1" applyFill="1"/>
    <xf numFmtId="164" fontId="82" fillId="4" borderId="0" xfId="0" applyFont="1" applyFill="1" applyAlignment="1">
      <alignment horizontal="center"/>
    </xf>
    <xf numFmtId="164" fontId="84" fillId="4" borderId="0" xfId="0" applyFont="1" applyFill="1"/>
    <xf numFmtId="164" fontId="85" fillId="4" borderId="0" xfId="0" applyFont="1" applyFill="1"/>
    <xf numFmtId="164" fontId="82" fillId="4" borderId="0" xfId="0" applyFont="1" applyFill="1"/>
    <xf numFmtId="164" fontId="86" fillId="4" borderId="14" xfId="0" applyFont="1" applyFill="1" applyBorder="1" applyAlignment="1">
      <alignment horizontal="center"/>
    </xf>
    <xf numFmtId="164" fontId="86" fillId="4" borderId="0" xfId="0" applyFont="1" applyFill="1" applyAlignment="1">
      <alignment horizontal="center"/>
    </xf>
    <xf numFmtId="164" fontId="82" fillId="4" borderId="14" xfId="0" applyFont="1" applyFill="1" applyBorder="1"/>
    <xf numFmtId="164" fontId="83" fillId="4" borderId="14" xfId="0" applyFont="1" applyFill="1" applyBorder="1"/>
    <xf numFmtId="164" fontId="80" fillId="4" borderId="14" xfId="0" applyFont="1" applyFill="1" applyBorder="1" applyAlignment="1">
      <alignment horizontal="right"/>
    </xf>
    <xf numFmtId="3" fontId="80" fillId="4" borderId="12" xfId="0" applyNumberFormat="1" applyFont="1" applyFill="1" applyBorder="1" applyAlignment="1">
      <alignment horizontal="center"/>
    </xf>
    <xf numFmtId="164" fontId="77" fillId="4" borderId="17" xfId="0" applyFont="1" applyFill="1" applyBorder="1"/>
    <xf numFmtId="164" fontId="80" fillId="4" borderId="18" xfId="0" applyFont="1" applyFill="1" applyBorder="1"/>
    <xf numFmtId="164" fontId="87" fillId="4" borderId="21" xfId="0" applyFont="1" applyFill="1" applyBorder="1"/>
    <xf numFmtId="164" fontId="0" fillId="4" borderId="42" xfId="0" applyFill="1" applyBorder="1"/>
    <xf numFmtId="3" fontId="80" fillId="4" borderId="0" xfId="0" applyNumberFormat="1" applyFont="1" applyFill="1" applyAlignment="1">
      <alignment horizontal="right"/>
    </xf>
    <xf numFmtId="3" fontId="87" fillId="4" borderId="6" xfId="0" applyNumberFormat="1" applyFont="1" applyFill="1" applyBorder="1" applyAlignment="1">
      <alignment horizontal="right"/>
    </xf>
    <xf numFmtId="164" fontId="30" fillId="10" borderId="23" xfId="0" applyFont="1" applyFill="1" applyBorder="1" applyAlignment="1">
      <alignment vertical="center"/>
    </xf>
    <xf numFmtId="164" fontId="47" fillId="10" borderId="23" xfId="0" applyFont="1" applyFill="1" applyBorder="1"/>
    <xf numFmtId="164" fontId="20" fillId="10" borderId="23" xfId="0" applyFont="1" applyFill="1" applyBorder="1"/>
    <xf numFmtId="164" fontId="20" fillId="10" borderId="106" xfId="0" applyFont="1" applyFill="1" applyBorder="1"/>
    <xf numFmtId="164" fontId="20" fillId="10" borderId="107" xfId="0" applyFont="1" applyFill="1" applyBorder="1"/>
    <xf numFmtId="164" fontId="47" fillId="10" borderId="107" xfId="0" applyFont="1" applyFill="1" applyBorder="1"/>
    <xf numFmtId="164" fontId="20" fillId="10" borderId="108" xfId="0" applyFont="1" applyFill="1" applyBorder="1"/>
    <xf numFmtId="164" fontId="20" fillId="10" borderId="109" xfId="0" applyFont="1" applyFill="1" applyBorder="1"/>
    <xf numFmtId="164" fontId="20" fillId="10" borderId="110" xfId="0" applyFont="1" applyFill="1" applyBorder="1"/>
    <xf numFmtId="164" fontId="20" fillId="10" borderId="111" xfId="0" applyFont="1" applyFill="1" applyBorder="1"/>
    <xf numFmtId="164" fontId="78" fillId="4" borderId="0" xfId="0" applyFont="1" applyFill="1"/>
    <xf numFmtId="164" fontId="78" fillId="4" borderId="0" xfId="0" applyFont="1" applyFill="1" applyAlignment="1">
      <alignment horizontal="center"/>
    </xf>
    <xf numFmtId="164" fontId="0" fillId="4" borderId="110" xfId="0" applyFill="1" applyBorder="1"/>
    <xf numFmtId="164" fontId="78" fillId="4" borderId="0" xfId="0" applyFont="1" applyFill="1" applyAlignment="1">
      <alignment horizontal="center" vertical="top"/>
    </xf>
    <xf numFmtId="164" fontId="78" fillId="4" borderId="115" xfId="0" applyFont="1" applyFill="1" applyBorder="1" applyAlignment="1">
      <alignment horizontal="center" vertical="center"/>
    </xf>
    <xf numFmtId="164" fontId="78" fillId="4" borderId="108" xfId="0" applyFont="1" applyFill="1" applyBorder="1" applyAlignment="1">
      <alignment horizontal="center"/>
    </xf>
    <xf numFmtId="164" fontId="78" fillId="4" borderId="116" xfId="0" applyFont="1" applyFill="1" applyBorder="1" applyAlignment="1">
      <alignment horizontal="center" vertical="top"/>
    </xf>
    <xf numFmtId="164" fontId="77" fillId="4" borderId="115" xfId="0" applyFont="1" applyFill="1" applyBorder="1" applyAlignment="1">
      <alignment horizontal="center"/>
    </xf>
    <xf numFmtId="3" fontId="77" fillId="4" borderId="108" xfId="0" applyNumberFormat="1" applyFont="1" applyFill="1" applyBorder="1" applyAlignment="1">
      <alignment horizontal="center"/>
    </xf>
    <xf numFmtId="164" fontId="78" fillId="4" borderId="115" xfId="0" applyFont="1" applyFill="1" applyBorder="1"/>
    <xf numFmtId="164" fontId="77" fillId="4" borderId="108" xfId="0" applyFont="1" applyFill="1" applyBorder="1" applyAlignment="1">
      <alignment horizontal="center"/>
    </xf>
    <xf numFmtId="164" fontId="77" fillId="4" borderId="121" xfId="0" applyFont="1" applyFill="1" applyBorder="1" applyAlignment="1">
      <alignment horizontal="center"/>
    </xf>
    <xf numFmtId="164" fontId="77" fillId="4" borderId="122" xfId="0" applyFont="1" applyFill="1" applyBorder="1" applyAlignment="1">
      <alignment horizontal="center"/>
    </xf>
    <xf numFmtId="164" fontId="77" fillId="4" borderId="123" xfId="0" applyFont="1" applyFill="1" applyBorder="1" applyAlignment="1">
      <alignment horizontal="center"/>
    </xf>
    <xf numFmtId="164" fontId="77" fillId="4" borderId="124" xfId="0" applyFont="1" applyFill="1" applyBorder="1" applyAlignment="1">
      <alignment horizontal="center"/>
    </xf>
    <xf numFmtId="3" fontId="77" fillId="4" borderId="123" xfId="0" applyNumberFormat="1" applyFont="1" applyFill="1" applyBorder="1" applyAlignment="1">
      <alignment horizontal="center"/>
    </xf>
    <xf numFmtId="3" fontId="77" fillId="4" borderId="124" xfId="0" applyNumberFormat="1" applyFont="1" applyFill="1" applyBorder="1" applyAlignment="1">
      <alignment horizontal="center"/>
    </xf>
    <xf numFmtId="9" fontId="77" fillId="4" borderId="123" xfId="0" applyNumberFormat="1" applyFont="1" applyFill="1" applyBorder="1" applyAlignment="1">
      <alignment horizontal="center"/>
    </xf>
    <xf numFmtId="9" fontId="77" fillId="4" borderId="124" xfId="0" applyNumberFormat="1" applyFont="1" applyFill="1" applyBorder="1" applyAlignment="1">
      <alignment horizontal="center"/>
    </xf>
    <xf numFmtId="164" fontId="77" fillId="4" borderId="125" xfId="0" applyFont="1" applyFill="1" applyBorder="1" applyAlignment="1">
      <alignment horizontal="center"/>
    </xf>
    <xf numFmtId="164" fontId="77" fillId="4" borderId="126" xfId="0" applyFont="1" applyFill="1" applyBorder="1" applyAlignment="1">
      <alignment horizontal="center"/>
    </xf>
    <xf numFmtId="3" fontId="77" fillId="4" borderId="126" xfId="0" applyNumberFormat="1" applyFont="1" applyFill="1" applyBorder="1" applyAlignment="1">
      <alignment horizontal="center"/>
    </xf>
    <xf numFmtId="9" fontId="77" fillId="4" borderId="126" xfId="0" applyNumberFormat="1" applyFont="1" applyFill="1" applyBorder="1" applyAlignment="1">
      <alignment horizontal="center"/>
    </xf>
    <xf numFmtId="3" fontId="77" fillId="4" borderId="127" xfId="0" applyNumberFormat="1" applyFont="1" applyFill="1" applyBorder="1" applyAlignment="1">
      <alignment horizontal="center"/>
    </xf>
    <xf numFmtId="164" fontId="78" fillId="4" borderId="131" xfId="0" applyFont="1" applyFill="1" applyBorder="1"/>
    <xf numFmtId="164" fontId="78" fillId="4" borderId="132" xfId="0" applyFont="1" applyFill="1" applyBorder="1" applyAlignment="1">
      <alignment horizontal="center"/>
    </xf>
    <xf numFmtId="164" fontId="78" fillId="4" borderId="133" xfId="0" applyFont="1" applyFill="1" applyBorder="1"/>
    <xf numFmtId="164" fontId="78" fillId="4" borderId="134" xfId="0" applyFont="1" applyFill="1" applyBorder="1" applyAlignment="1">
      <alignment horizontal="center" vertical="top"/>
    </xf>
    <xf numFmtId="164" fontId="78" fillId="4" borderId="135" xfId="0" applyFont="1" applyFill="1" applyBorder="1"/>
    <xf numFmtId="164" fontId="78" fillId="4" borderId="122" xfId="0" applyFont="1" applyFill="1" applyBorder="1" applyAlignment="1">
      <alignment horizontal="center" vertical="center"/>
    </xf>
    <xf numFmtId="164" fontId="78" fillId="4" borderId="136" xfId="0" applyFont="1" applyFill="1" applyBorder="1" applyAlignment="1">
      <alignment horizontal="center" vertical="top"/>
    </xf>
    <xf numFmtId="164" fontId="78" fillId="4" borderId="137" xfId="0" applyFont="1" applyFill="1" applyBorder="1" applyAlignment="1">
      <alignment horizontal="center"/>
    </xf>
    <xf numFmtId="164" fontId="78" fillId="4" borderId="124" xfId="0" applyFont="1" applyFill="1" applyBorder="1" applyAlignment="1">
      <alignment horizontal="center"/>
    </xf>
    <xf numFmtId="164" fontId="78" fillId="4" borderId="138" xfId="0" applyFont="1" applyFill="1" applyBorder="1" applyAlignment="1">
      <alignment horizontal="center" vertical="top"/>
    </xf>
    <xf numFmtId="164" fontId="78" fillId="4" borderId="137" xfId="0" applyFont="1" applyFill="1" applyBorder="1"/>
    <xf numFmtId="164" fontId="0" fillId="4" borderId="115" xfId="0" applyFill="1" applyBorder="1"/>
    <xf numFmtId="164" fontId="0" fillId="4" borderId="108" xfId="0" applyFill="1" applyBorder="1"/>
    <xf numFmtId="164" fontId="0" fillId="4" borderId="111" xfId="0" applyFill="1" applyBorder="1"/>
    <xf numFmtId="164" fontId="78" fillId="4" borderId="0" xfId="0" applyFont="1" applyFill="1" applyAlignment="1">
      <alignment horizontal="right"/>
    </xf>
    <xf numFmtId="164" fontId="78" fillId="4" borderId="119" xfId="0" applyFont="1" applyFill="1" applyBorder="1" applyAlignment="1">
      <alignment horizontal="right"/>
    </xf>
    <xf numFmtId="164" fontId="78" fillId="4" borderId="113" xfId="0" applyFont="1" applyFill="1" applyBorder="1"/>
    <xf numFmtId="164" fontId="78" fillId="4" borderId="112" xfId="0" applyFont="1" applyFill="1" applyBorder="1" applyAlignment="1">
      <alignment horizontal="center"/>
    </xf>
    <xf numFmtId="164" fontId="78" fillId="4" borderId="114" xfId="0" applyFont="1" applyFill="1" applyBorder="1" applyAlignment="1">
      <alignment horizontal="center"/>
    </xf>
    <xf numFmtId="164" fontId="78" fillId="4" borderId="139" xfId="0" applyFont="1" applyFill="1" applyBorder="1" applyAlignment="1">
      <alignment horizontal="center" vertical="top"/>
    </xf>
    <xf numFmtId="164" fontId="78" fillId="4" borderId="140" xfId="0" applyFont="1" applyFill="1" applyBorder="1" applyAlignment="1">
      <alignment horizontal="center" vertical="top"/>
    </xf>
    <xf numFmtId="164" fontId="78" fillId="4" borderId="140" xfId="0" applyFont="1" applyFill="1" applyBorder="1" applyAlignment="1">
      <alignment horizontal="center" wrapText="1"/>
    </xf>
    <xf numFmtId="164" fontId="78" fillId="4" borderId="127" xfId="0" applyFont="1" applyFill="1" applyBorder="1" applyAlignment="1">
      <alignment horizontal="center" vertical="top"/>
    </xf>
    <xf numFmtId="164" fontId="77" fillId="4" borderId="139" xfId="0" applyFont="1" applyFill="1" applyBorder="1" applyAlignment="1">
      <alignment horizontal="center"/>
    </xf>
    <xf numFmtId="164" fontId="77" fillId="4" borderId="127" xfId="0" applyFont="1" applyFill="1" applyBorder="1" applyAlignment="1">
      <alignment horizontal="center"/>
    </xf>
    <xf numFmtId="164" fontId="78" fillId="4" borderId="124" xfId="0" applyFont="1" applyFill="1" applyBorder="1" applyAlignment="1">
      <alignment horizontal="center" vertical="top"/>
    </xf>
    <xf numFmtId="164" fontId="88" fillId="4" borderId="126" xfId="0" applyFont="1" applyFill="1" applyBorder="1" applyAlignment="1">
      <alignment horizontal="center"/>
    </xf>
    <xf numFmtId="164" fontId="78" fillId="4" borderId="126" xfId="0" applyFont="1" applyFill="1" applyBorder="1" applyAlignment="1">
      <alignment horizontal="center" vertical="top"/>
    </xf>
    <xf numFmtId="3" fontId="77" fillId="4" borderId="140" xfId="0" applyNumberFormat="1" applyFont="1" applyFill="1" applyBorder="1" applyAlignment="1">
      <alignment horizontal="center"/>
    </xf>
    <xf numFmtId="3" fontId="78" fillId="4" borderId="128" xfId="0" applyNumberFormat="1" applyFont="1" applyFill="1" applyBorder="1" applyAlignment="1">
      <alignment horizontal="center"/>
    </xf>
    <xf numFmtId="164" fontId="0" fillId="4" borderId="131" xfId="0" applyFill="1" applyBorder="1"/>
    <xf numFmtId="3" fontId="78" fillId="4" borderId="129" xfId="0" applyNumberFormat="1" applyFont="1" applyFill="1" applyBorder="1" applyAlignment="1">
      <alignment horizontal="center"/>
    </xf>
    <xf numFmtId="3" fontId="78" fillId="4" borderId="130" xfId="0" applyNumberFormat="1" applyFont="1" applyFill="1" applyBorder="1" applyAlignment="1">
      <alignment horizontal="center"/>
    </xf>
    <xf numFmtId="3" fontId="78" fillId="4" borderId="142" xfId="0" applyNumberFormat="1" applyFont="1" applyFill="1" applyBorder="1" applyAlignment="1">
      <alignment horizontal="center"/>
    </xf>
    <xf numFmtId="164" fontId="41" fillId="4" borderId="0" xfId="0" applyFont="1" applyFill="1" applyAlignment="1">
      <alignment horizontal="center"/>
    </xf>
    <xf numFmtId="164" fontId="41" fillId="4" borderId="115" xfId="0" applyFont="1" applyFill="1" applyBorder="1" applyAlignment="1">
      <alignment horizontal="center"/>
    </xf>
    <xf numFmtId="164" fontId="0" fillId="4" borderId="117" xfId="0" applyFill="1" applyBorder="1"/>
    <xf numFmtId="164" fontId="0" fillId="4" borderId="144" xfId="0" applyFill="1" applyBorder="1"/>
    <xf numFmtId="164" fontId="0" fillId="4" borderId="145" xfId="0" applyFill="1" applyBorder="1"/>
    <xf numFmtId="164" fontId="0" fillId="4" borderId="62" xfId="0" applyFill="1" applyBorder="1"/>
    <xf numFmtId="164" fontId="0" fillId="4" borderId="146" xfId="0" applyFill="1" applyBorder="1"/>
    <xf numFmtId="164" fontId="0" fillId="4" borderId="143" xfId="0" applyFill="1" applyBorder="1"/>
    <xf numFmtId="164" fontId="0" fillId="4" borderId="147" xfId="0" applyFill="1" applyBorder="1"/>
    <xf numFmtId="164" fontId="16" fillId="4" borderId="147" xfId="0" applyFont="1" applyFill="1" applyBorder="1" applyAlignment="1">
      <alignment wrapText="1"/>
    </xf>
    <xf numFmtId="164" fontId="35" fillId="4" borderId="143" xfId="0" applyFont="1" applyFill="1" applyBorder="1" applyAlignment="1">
      <alignment horizontal="center"/>
    </xf>
    <xf numFmtId="164" fontId="35" fillId="4" borderId="144" xfId="0" applyFont="1" applyFill="1" applyBorder="1" applyAlignment="1">
      <alignment horizontal="center" wrapText="1"/>
    </xf>
    <xf numFmtId="164" fontId="22" fillId="4" borderId="61" xfId="0" applyFont="1" applyFill="1" applyBorder="1" applyAlignment="1">
      <alignment horizontal="left"/>
    </xf>
    <xf numFmtId="164" fontId="22" fillId="4" borderId="55" xfId="0" applyFont="1" applyFill="1" applyBorder="1" applyAlignment="1">
      <alignment wrapText="1"/>
    </xf>
    <xf numFmtId="164" fontId="22" fillId="4" borderId="55" xfId="0" applyFont="1" applyFill="1" applyBorder="1"/>
    <xf numFmtId="164" fontId="51" fillId="4" borderId="9" xfId="0" applyFont="1" applyFill="1" applyBorder="1" applyAlignment="1">
      <alignment horizontal="center"/>
    </xf>
    <xf numFmtId="164" fontId="20" fillId="4" borderId="37" xfId="0" applyFont="1" applyFill="1" applyBorder="1"/>
    <xf numFmtId="164" fontId="13" fillId="0" borderId="0" xfId="0" applyFont="1" applyAlignment="1">
      <alignment horizontal="left"/>
    </xf>
    <xf numFmtId="0" fontId="15" fillId="4" borderId="9" xfId="0" applyNumberFormat="1" applyFont="1" applyFill="1" applyBorder="1" applyAlignment="1" applyProtection="1">
      <alignment horizontal="left" vertical="center"/>
      <protection locked="0"/>
    </xf>
    <xf numFmtId="164" fontId="20" fillId="16" borderId="17" xfId="0" applyFont="1" applyFill="1" applyBorder="1"/>
    <xf numFmtId="164" fontId="20" fillId="16" borderId="18" xfId="0" applyFont="1" applyFill="1" applyBorder="1"/>
    <xf numFmtId="164" fontId="47" fillId="16" borderId="18" xfId="0" applyFont="1" applyFill="1" applyBorder="1"/>
    <xf numFmtId="164" fontId="20" fillId="16" borderId="21" xfId="0" applyFont="1" applyFill="1" applyBorder="1"/>
    <xf numFmtId="164" fontId="20" fillId="16" borderId="15" xfId="0" applyFont="1" applyFill="1" applyBorder="1"/>
    <xf numFmtId="164" fontId="20" fillId="16" borderId="14" xfId="0" applyFont="1" applyFill="1" applyBorder="1"/>
    <xf numFmtId="164" fontId="20" fillId="16" borderId="76" xfId="0" applyFont="1" applyFill="1" applyBorder="1"/>
    <xf numFmtId="164" fontId="20" fillId="16" borderId="0" xfId="0" applyFont="1" applyFill="1"/>
    <xf numFmtId="164" fontId="20" fillId="16" borderId="6" xfId="0" applyFont="1" applyFill="1" applyBorder="1"/>
    <xf numFmtId="164" fontId="0" fillId="16" borderId="6" xfId="0" applyFill="1" applyBorder="1"/>
    <xf numFmtId="164" fontId="0" fillId="16" borderId="6" xfId="0" applyFill="1" applyBorder="1" applyAlignment="1">
      <alignment horizontal="center"/>
    </xf>
    <xf numFmtId="164" fontId="20" fillId="16" borderId="55" xfId="0" applyFont="1" applyFill="1" applyBorder="1" applyAlignment="1" applyProtection="1">
      <alignment horizontal="center"/>
      <protection locked="0"/>
    </xf>
    <xf numFmtId="0" fontId="20" fillId="16" borderId="0" xfId="0" applyNumberFormat="1" applyFont="1" applyFill="1" applyAlignment="1" applyProtection="1">
      <alignment horizontal="left"/>
      <protection locked="0"/>
    </xf>
    <xf numFmtId="164" fontId="20" fillId="16" borderId="11" xfId="0" applyFont="1" applyFill="1" applyBorder="1" applyAlignment="1" applyProtection="1">
      <alignment horizontal="center"/>
      <protection locked="0"/>
    </xf>
    <xf numFmtId="3" fontId="20" fillId="16" borderId="0" xfId="0" applyNumberFormat="1" applyFont="1" applyFill="1" applyAlignment="1" applyProtection="1">
      <alignment horizontal="center"/>
      <protection locked="0"/>
    </xf>
    <xf numFmtId="171" fontId="20" fillId="16" borderId="0" xfId="0" applyNumberFormat="1" applyFont="1" applyFill="1" applyAlignment="1">
      <alignment horizontal="center"/>
    </xf>
    <xf numFmtId="9" fontId="20" fillId="16" borderId="0" xfId="0" applyNumberFormat="1" applyFont="1" applyFill="1" applyAlignment="1" applyProtection="1">
      <alignment horizontal="center"/>
      <protection locked="0"/>
    </xf>
    <xf numFmtId="3" fontId="20" fillId="16" borderId="0" xfId="0" applyNumberFormat="1" applyFont="1" applyFill="1" applyAlignment="1">
      <alignment horizontal="center"/>
    </xf>
    <xf numFmtId="164" fontId="13" fillId="16" borderId="56" xfId="0" applyFont="1" applyFill="1" applyBorder="1" applyAlignment="1">
      <alignment horizontal="center"/>
    </xf>
    <xf numFmtId="164" fontId="53" fillId="16" borderId="0" xfId="0" applyFont="1" applyFill="1" applyAlignment="1" applyProtection="1">
      <alignment horizontal="left" vertical="center" wrapText="1"/>
      <protection locked="0"/>
    </xf>
    <xf numFmtId="164" fontId="20" fillId="18" borderId="15" xfId="0" applyFont="1" applyFill="1" applyBorder="1"/>
    <xf numFmtId="164" fontId="20" fillId="18" borderId="14" xfId="0" applyFont="1" applyFill="1" applyBorder="1"/>
    <xf numFmtId="164" fontId="72" fillId="18" borderId="0" xfId="0" applyFont="1" applyFill="1" applyAlignment="1">
      <alignment horizontal="left" vertical="top"/>
    </xf>
    <xf numFmtId="164" fontId="69" fillId="18" borderId="0" xfId="0" applyFont="1" applyFill="1" applyAlignment="1">
      <alignment horizontal="center" vertical="top"/>
    </xf>
    <xf numFmtId="164" fontId="31" fillId="18" borderId="17" xfId="0" applyFont="1" applyFill="1" applyBorder="1"/>
    <xf numFmtId="164" fontId="31" fillId="18" borderId="18" xfId="0" applyFont="1" applyFill="1" applyBorder="1"/>
    <xf numFmtId="164" fontId="31" fillId="18" borderId="21" xfId="0" applyFont="1" applyFill="1" applyBorder="1"/>
    <xf numFmtId="164" fontId="20" fillId="18" borderId="68" xfId="0" applyFont="1" applyFill="1" applyBorder="1"/>
    <xf numFmtId="164" fontId="53" fillId="18" borderId="0" xfId="0" applyFont="1" applyFill="1" applyAlignment="1">
      <alignment horizontal="left" vertical="center" wrapText="1"/>
    </xf>
    <xf numFmtId="164" fontId="47" fillId="18" borderId="14" xfId="0" applyFont="1" applyFill="1" applyBorder="1"/>
    <xf numFmtId="164" fontId="20" fillId="18" borderId="0" xfId="0" applyFont="1" applyFill="1"/>
    <xf numFmtId="164" fontId="20" fillId="18" borderId="20" xfId="0" applyFont="1" applyFill="1" applyBorder="1"/>
    <xf numFmtId="164" fontId="20" fillId="18" borderId="6" xfId="0" applyFont="1" applyFill="1" applyBorder="1"/>
    <xf numFmtId="164" fontId="13" fillId="18" borderId="6" xfId="0" applyFont="1" applyFill="1" applyBorder="1" applyAlignment="1">
      <alignment horizontal="center" vertical="top"/>
    </xf>
    <xf numFmtId="164" fontId="54" fillId="18" borderId="6" xfId="0" applyFont="1" applyFill="1" applyBorder="1" applyAlignment="1">
      <alignment horizontal="center" vertical="top"/>
    </xf>
    <xf numFmtId="164" fontId="47" fillId="16" borderId="20" xfId="0" applyFont="1" applyFill="1" applyBorder="1"/>
    <xf numFmtId="164" fontId="47" fillId="16" borderId="14" xfId="0" applyFont="1" applyFill="1" applyBorder="1"/>
    <xf numFmtId="164" fontId="13" fillId="16" borderId="0" xfId="0" applyFont="1" applyFill="1" applyAlignment="1">
      <alignment vertical="top"/>
    </xf>
    <xf numFmtId="164" fontId="47" fillId="16" borderId="0" xfId="0" applyFont="1" applyFill="1"/>
    <xf numFmtId="164" fontId="31" fillId="16" borderId="18" xfId="0" applyFont="1" applyFill="1" applyBorder="1"/>
    <xf numFmtId="164" fontId="48" fillId="16" borderId="0" xfId="0" applyFont="1" applyFill="1"/>
    <xf numFmtId="164" fontId="30" fillId="16" borderId="0" xfId="0" applyFont="1" applyFill="1"/>
    <xf numFmtId="164" fontId="31" fillId="16" borderId="21" xfId="0" applyFont="1" applyFill="1" applyBorder="1"/>
    <xf numFmtId="164" fontId="20" fillId="16" borderId="0" xfId="0" applyFont="1" applyFill="1" applyAlignment="1" applyProtection="1">
      <alignment horizontal="center"/>
      <protection locked="0"/>
    </xf>
    <xf numFmtId="164" fontId="20" fillId="16" borderId="56" xfId="0" applyFont="1" applyFill="1" applyBorder="1" applyAlignment="1">
      <alignment horizontal="center"/>
    </xf>
    <xf numFmtId="164" fontId="13" fillId="16" borderId="0" xfId="0" applyFont="1" applyFill="1" applyAlignment="1" applyProtection="1">
      <alignment horizontal="center"/>
      <protection locked="0"/>
    </xf>
    <xf numFmtId="3" fontId="13" fillId="16" borderId="0" xfId="0" applyNumberFormat="1" applyFont="1" applyFill="1" applyAlignment="1">
      <alignment horizontal="center"/>
    </xf>
    <xf numFmtId="3" fontId="13" fillId="16" borderId="0" xfId="0" applyNumberFormat="1" applyFont="1" applyFill="1" applyAlignment="1" applyProtection="1">
      <alignment horizontal="center"/>
      <protection locked="0"/>
    </xf>
    <xf numFmtId="9" fontId="13" fillId="16" borderId="0" xfId="0" applyNumberFormat="1" applyFont="1" applyFill="1" applyAlignment="1" applyProtection="1">
      <alignment horizontal="center"/>
      <protection locked="0"/>
    </xf>
    <xf numFmtId="164" fontId="13" fillId="16" borderId="0" xfId="0" applyFont="1" applyFill="1" applyAlignment="1">
      <alignment horizontal="center"/>
    </xf>
    <xf numFmtId="164" fontId="13" fillId="16" borderId="6" xfId="0" applyFont="1" applyFill="1" applyBorder="1" applyAlignment="1">
      <alignment vertical="top"/>
    </xf>
    <xf numFmtId="164" fontId="47" fillId="16" borderId="6" xfId="0" applyFont="1" applyFill="1" applyBorder="1"/>
    <xf numFmtId="164" fontId="71" fillId="16" borderId="0" xfId="0" applyFont="1" applyFill="1"/>
    <xf numFmtId="164" fontId="20" fillId="7" borderId="60" xfId="0" applyFont="1" applyFill="1" applyBorder="1" applyAlignment="1" applyProtection="1">
      <alignment horizontal="center" vertical="center"/>
      <protection locked="0"/>
    </xf>
    <xf numFmtId="0" fontId="20" fillId="7" borderId="1" xfId="0" applyNumberFormat="1" applyFont="1" applyFill="1" applyBorder="1" applyAlignment="1" applyProtection="1">
      <alignment horizontal="left" vertical="center"/>
      <protection locked="0"/>
    </xf>
    <xf numFmtId="9" fontId="20" fillId="7" borderId="1" xfId="0" applyNumberFormat="1" applyFont="1" applyFill="1" applyBorder="1" applyAlignment="1" applyProtection="1">
      <alignment horizontal="center" vertical="center"/>
      <protection locked="0"/>
    </xf>
    <xf numFmtId="49" fontId="54" fillId="7" borderId="1" xfId="0" applyNumberFormat="1" applyFont="1" applyFill="1" applyBorder="1" applyProtection="1">
      <protection locked="0"/>
    </xf>
    <xf numFmtId="49" fontId="54" fillId="7" borderId="1" xfId="0" applyNumberFormat="1" applyFont="1" applyFill="1" applyBorder="1" applyAlignment="1" applyProtection="1">
      <alignment horizontal="left"/>
      <protection locked="0"/>
    </xf>
    <xf numFmtId="164" fontId="89" fillId="4" borderId="9" xfId="0" applyFont="1" applyFill="1" applyBorder="1" applyAlignment="1">
      <alignment horizontal="center"/>
    </xf>
    <xf numFmtId="3" fontId="89" fillId="4" borderId="9" xfId="0" applyNumberFormat="1" applyFont="1" applyFill="1" applyBorder="1" applyAlignment="1">
      <alignment horizontal="left"/>
    </xf>
    <xf numFmtId="164" fontId="13" fillId="0" borderId="23" xfId="0" applyFont="1" applyBorder="1" applyAlignment="1">
      <alignment horizontal="right"/>
    </xf>
    <xf numFmtId="3" fontId="13" fillId="0" borderId="0" xfId="0" applyNumberFormat="1" applyFont="1" applyAlignment="1">
      <alignment horizontal="right"/>
    </xf>
    <xf numFmtId="164" fontId="65" fillId="0" borderId="12" xfId="0" applyFont="1" applyBorder="1" applyAlignment="1">
      <alignment horizontal="center" wrapText="1"/>
    </xf>
    <xf numFmtId="164" fontId="20" fillId="0" borderId="1" xfId="0" applyFont="1" applyBorder="1" applyAlignment="1">
      <alignment horizontal="left" vertical="center"/>
    </xf>
    <xf numFmtId="164" fontId="20" fillId="4" borderId="8" xfId="0" applyFont="1" applyFill="1" applyBorder="1" applyAlignment="1">
      <alignment horizontal="left" vertical="center"/>
    </xf>
    <xf numFmtId="3" fontId="54" fillId="4" borderId="32" xfId="0" applyNumberFormat="1" applyFont="1" applyFill="1" applyBorder="1" applyAlignment="1">
      <alignment horizontal="left" vertical="center"/>
    </xf>
    <xf numFmtId="3" fontId="13" fillId="4" borderId="10" xfId="0" applyNumberFormat="1" applyFont="1" applyFill="1" applyBorder="1" applyAlignment="1">
      <alignment horizontal="center" vertical="center"/>
    </xf>
    <xf numFmtId="168" fontId="20" fillId="3" borderId="1" xfId="0" applyNumberFormat="1" applyFont="1" applyFill="1" applyBorder="1" applyAlignment="1" applyProtection="1">
      <alignment horizontal="center" vertical="center"/>
      <protection locked="0"/>
    </xf>
    <xf numFmtId="3" fontId="20" fillId="0" borderId="28" xfId="0" applyNumberFormat="1" applyFont="1" applyBorder="1" applyAlignment="1">
      <alignment horizontal="center" vertical="center"/>
    </xf>
    <xf numFmtId="3" fontId="20" fillId="0" borderId="10" xfId="0" applyNumberFormat="1" applyFont="1" applyBorder="1" applyAlignment="1">
      <alignment horizontal="center" vertical="center"/>
    </xf>
    <xf numFmtId="3" fontId="20" fillId="0" borderId="1" xfId="0" applyNumberFormat="1" applyFont="1" applyBorder="1" applyAlignment="1" applyProtection="1">
      <alignment horizontal="center" vertical="center"/>
      <protection locked="0"/>
    </xf>
    <xf numFmtId="3" fontId="20" fillId="0" borderId="8" xfId="0" applyNumberFormat="1" applyFont="1" applyBorder="1" applyAlignment="1">
      <alignment horizontal="center" vertical="center"/>
    </xf>
    <xf numFmtId="3" fontId="20" fillId="0" borderId="33" xfId="0" applyNumberFormat="1" applyFont="1" applyBorder="1" applyAlignment="1">
      <alignment horizontal="center" vertical="center"/>
    </xf>
    <xf numFmtId="168" fontId="20" fillId="3" borderId="8" xfId="0" applyNumberFormat="1" applyFont="1" applyFill="1" applyBorder="1" applyAlignment="1" applyProtection="1">
      <alignment horizontal="center" vertical="center"/>
      <protection locked="0"/>
    </xf>
    <xf numFmtId="3" fontId="50" fillId="0" borderId="1" xfId="0" applyNumberFormat="1" applyFont="1" applyBorder="1" applyAlignment="1">
      <alignment horizontal="center" vertical="center"/>
    </xf>
    <xf numFmtId="3" fontId="20" fillId="4" borderId="10" xfId="0" applyNumberFormat="1" applyFont="1" applyFill="1" applyBorder="1" applyAlignment="1">
      <alignment horizontal="center" vertical="center"/>
    </xf>
    <xf numFmtId="3" fontId="20" fillId="4" borderId="1" xfId="0" applyNumberFormat="1" applyFont="1" applyFill="1" applyBorder="1" applyAlignment="1">
      <alignment horizontal="center" vertical="center"/>
    </xf>
    <xf numFmtId="168" fontId="20" fillId="7" borderId="9" xfId="0" applyNumberFormat="1" applyFont="1" applyFill="1" applyBorder="1" applyAlignment="1" applyProtection="1">
      <alignment horizontal="center" vertical="center"/>
      <protection locked="0"/>
    </xf>
    <xf numFmtId="164" fontId="13" fillId="0" borderId="1" xfId="0" applyFont="1" applyBorder="1" applyAlignment="1">
      <alignment horizontal="center" vertical="center"/>
    </xf>
    <xf numFmtId="3" fontId="13" fillId="0" borderId="1" xfId="0" applyNumberFormat="1" applyFont="1" applyBorder="1" applyAlignment="1">
      <alignment horizontal="center" vertical="center"/>
    </xf>
    <xf numFmtId="2" fontId="13" fillId="0" borderId="1" xfId="0" applyNumberFormat="1" applyFont="1" applyBorder="1" applyAlignment="1">
      <alignment horizontal="center" vertical="center"/>
    </xf>
    <xf numFmtId="3" fontId="13" fillId="0" borderId="28" xfId="0" applyNumberFormat="1" applyFont="1" applyBorder="1" applyAlignment="1">
      <alignment horizontal="center" vertical="center"/>
    </xf>
    <xf numFmtId="164" fontId="92" fillId="18" borderId="0" xfId="0" applyFont="1" applyFill="1" applyAlignment="1">
      <alignment horizontal="center" vertical="center"/>
    </xf>
    <xf numFmtId="164" fontId="92" fillId="18" borderId="0" xfId="0" applyFont="1" applyFill="1" applyAlignment="1">
      <alignment horizontal="center" vertical="top" wrapText="1"/>
    </xf>
    <xf numFmtId="164" fontId="54" fillId="18" borderId="0" xfId="0" applyFont="1" applyFill="1" applyAlignment="1">
      <alignment horizontal="right" vertical="center"/>
    </xf>
    <xf numFmtId="164" fontId="92" fillId="18" borderId="0" xfId="0" applyFont="1" applyFill="1" applyAlignment="1">
      <alignment horizontal="center" vertical="center" wrapText="1"/>
    </xf>
    <xf numFmtId="164" fontId="13" fillId="13" borderId="23" xfId="0" applyFont="1" applyFill="1" applyBorder="1"/>
    <xf numFmtId="164" fontId="13" fillId="4" borderId="14" xfId="0" applyFont="1" applyFill="1" applyBorder="1"/>
    <xf numFmtId="164" fontId="20" fillId="0" borderId="20" xfId="0" applyFont="1" applyBorder="1"/>
    <xf numFmtId="172" fontId="77" fillId="4" borderId="7" xfId="0" applyNumberFormat="1" applyFont="1" applyFill="1" applyBorder="1" applyAlignment="1">
      <alignment horizontal="center"/>
    </xf>
    <xf numFmtId="172" fontId="77" fillId="4" borderId="80" xfId="0" applyNumberFormat="1" applyFont="1" applyFill="1" applyBorder="1" applyAlignment="1">
      <alignment horizontal="center"/>
    </xf>
    <xf numFmtId="164" fontId="78" fillId="4" borderId="20" xfId="0" applyFont="1" applyFill="1" applyBorder="1" applyAlignment="1">
      <alignment horizontal="left"/>
    </xf>
    <xf numFmtId="164" fontId="78" fillId="4" borderId="6" xfId="0" applyFont="1" applyFill="1" applyBorder="1" applyAlignment="1">
      <alignment horizontal="left"/>
    </xf>
    <xf numFmtId="164" fontId="78" fillId="4" borderId="21" xfId="0" applyFont="1" applyFill="1" applyBorder="1" applyAlignment="1">
      <alignment horizontal="center"/>
    </xf>
    <xf numFmtId="3" fontId="78" fillId="0" borderId="1" xfId="0" applyNumberFormat="1" applyFont="1" applyBorder="1" applyAlignment="1">
      <alignment horizontal="center"/>
    </xf>
    <xf numFmtId="3" fontId="78" fillId="0" borderId="9" xfId="0" applyNumberFormat="1" applyFont="1" applyBorder="1" applyAlignment="1">
      <alignment horizontal="center"/>
    </xf>
    <xf numFmtId="164" fontId="78" fillId="4" borderId="9" xfId="0" applyFont="1" applyFill="1" applyBorder="1" applyAlignment="1">
      <alignment horizontal="center"/>
    </xf>
    <xf numFmtId="164" fontId="78" fillId="4" borderId="25" xfId="0" applyFont="1" applyFill="1" applyBorder="1" applyAlignment="1">
      <alignment horizontal="center"/>
    </xf>
    <xf numFmtId="3" fontId="78" fillId="4" borderId="99" xfId="0" applyNumberFormat="1" applyFont="1" applyFill="1" applyBorder="1" applyAlignment="1">
      <alignment horizontal="center"/>
    </xf>
    <xf numFmtId="164" fontId="78" fillId="4" borderId="99" xfId="0" applyFont="1" applyFill="1" applyBorder="1" applyAlignment="1">
      <alignment horizontal="center"/>
    </xf>
    <xf numFmtId="164" fontId="78" fillId="4" borderId="102" xfId="0" applyFont="1" applyFill="1" applyBorder="1" applyAlignment="1">
      <alignment horizontal="left" vertical="center" wrapText="1"/>
    </xf>
    <xf numFmtId="164" fontId="78" fillId="4" borderId="105" xfId="0" applyFont="1" applyFill="1" applyBorder="1" applyAlignment="1">
      <alignment horizontal="left"/>
    </xf>
    <xf numFmtId="172" fontId="77" fillId="4" borderId="0" xfId="0" applyNumberFormat="1" applyFont="1" applyFill="1" applyAlignment="1">
      <alignment horizontal="center"/>
    </xf>
    <xf numFmtId="3" fontId="50" fillId="4" borderId="1" xfId="0" applyNumberFormat="1" applyFont="1" applyFill="1" applyBorder="1" applyAlignment="1" applyProtection="1">
      <alignment horizontal="center" vertical="center"/>
      <protection locked="0"/>
    </xf>
    <xf numFmtId="173" fontId="13" fillId="4" borderId="2" xfId="0" applyNumberFormat="1" applyFont="1" applyFill="1" applyBorder="1" applyAlignment="1">
      <alignment horizontal="center"/>
    </xf>
    <xf numFmtId="173" fontId="13" fillId="4" borderId="1" xfId="0" applyNumberFormat="1" applyFont="1" applyFill="1" applyBorder="1" applyAlignment="1">
      <alignment horizontal="center"/>
    </xf>
    <xf numFmtId="3" fontId="28" fillId="0" borderId="9" xfId="0" applyNumberFormat="1" applyFont="1" applyBorder="1" applyAlignment="1">
      <alignment horizontal="center"/>
    </xf>
    <xf numFmtId="164" fontId="13" fillId="0" borderId="10" xfId="0" applyFont="1" applyBorder="1"/>
    <xf numFmtId="164" fontId="94" fillId="0" borderId="0" xfId="0" applyFont="1" applyAlignment="1">
      <alignment horizontal="center"/>
    </xf>
    <xf numFmtId="164" fontId="20" fillId="0" borderId="1" xfId="0" applyFont="1" applyBorder="1" applyAlignment="1">
      <alignment horizontal="center" wrapText="1"/>
    </xf>
    <xf numFmtId="164" fontId="20" fillId="15" borderId="8" xfId="0" applyFont="1" applyFill="1" applyBorder="1" applyAlignment="1">
      <alignment horizontal="center"/>
    </xf>
    <xf numFmtId="164" fontId="20" fillId="15" borderId="9" xfId="0" applyFont="1" applyFill="1" applyBorder="1" applyAlignment="1">
      <alignment horizontal="center"/>
    </xf>
    <xf numFmtId="2" fontId="13" fillId="15" borderId="8" xfId="0" applyNumberFormat="1" applyFont="1" applyFill="1" applyBorder="1"/>
    <xf numFmtId="2" fontId="13" fillId="15" borderId="9" xfId="0" applyNumberFormat="1" applyFont="1" applyFill="1" applyBorder="1"/>
    <xf numFmtId="2" fontId="13" fillId="15" borderId="10" xfId="0" applyNumberFormat="1" applyFont="1" applyFill="1" applyBorder="1"/>
    <xf numFmtId="168" fontId="20" fillId="15" borderId="8" xfId="0" applyNumberFormat="1" applyFont="1" applyFill="1" applyBorder="1"/>
    <xf numFmtId="168" fontId="20" fillId="15" borderId="9" xfId="0" applyNumberFormat="1" applyFont="1" applyFill="1" applyBorder="1"/>
    <xf numFmtId="168" fontId="20" fillId="15" borderId="10" xfId="0" applyNumberFormat="1" applyFont="1" applyFill="1" applyBorder="1"/>
    <xf numFmtId="164" fontId="20" fillId="0" borderId="7" xfId="0" applyFont="1" applyBorder="1" applyAlignment="1">
      <alignment horizontal="center"/>
    </xf>
    <xf numFmtId="164" fontId="13" fillId="4" borderId="12" xfId="0" applyFont="1" applyFill="1" applyBorder="1" applyAlignment="1">
      <alignment horizontal="fill"/>
    </xf>
    <xf numFmtId="1" fontId="20" fillId="3" borderId="1" xfId="0" applyNumberFormat="1" applyFont="1" applyFill="1" applyBorder="1" applyAlignment="1" applyProtection="1">
      <alignment horizontal="center" vertical="center"/>
      <protection locked="0"/>
    </xf>
    <xf numFmtId="1" fontId="16" fillId="0" borderId="26" xfId="0" applyNumberFormat="1" applyFont="1" applyBorder="1" applyAlignment="1">
      <alignment horizontal="center"/>
    </xf>
    <xf numFmtId="1" fontId="16" fillId="0" borderId="12" xfId="0" applyNumberFormat="1" applyFont="1" applyBorder="1" applyAlignment="1">
      <alignment horizontal="center"/>
    </xf>
    <xf numFmtId="1" fontId="16" fillId="0" borderId="24" xfId="0" applyNumberFormat="1" applyFont="1" applyBorder="1" applyAlignment="1">
      <alignment horizontal="center"/>
    </xf>
    <xf numFmtId="1" fontId="16" fillId="0" borderId="11" xfId="0" applyNumberFormat="1" applyFont="1" applyBorder="1" applyAlignment="1">
      <alignment horizontal="center"/>
    </xf>
    <xf numFmtId="1" fontId="16" fillId="4" borderId="23" xfId="0" applyNumberFormat="1" applyFont="1" applyFill="1" applyBorder="1" applyAlignment="1">
      <alignment horizontal="center"/>
    </xf>
    <xf numFmtId="1" fontId="16" fillId="4" borderId="0" xfId="0" applyNumberFormat="1" applyFont="1" applyFill="1" applyAlignment="1">
      <alignment horizontal="center"/>
    </xf>
    <xf numFmtId="1" fontId="16" fillId="0" borderId="23" xfId="0" applyNumberFormat="1" applyFont="1" applyBorder="1" applyAlignment="1">
      <alignment horizontal="center"/>
    </xf>
    <xf numFmtId="1" fontId="16" fillId="0" borderId="0" xfId="0" applyNumberFormat="1" applyFont="1" applyAlignment="1">
      <alignment horizontal="center"/>
    </xf>
    <xf numFmtId="164" fontId="20" fillId="0" borderId="40" xfId="1" applyNumberFormat="1" applyFont="1" applyBorder="1" applyAlignment="1">
      <alignment horizontal="left"/>
    </xf>
    <xf numFmtId="164" fontId="20" fillId="0" borderId="10" xfId="1" applyNumberFormat="1" applyFont="1" applyBorder="1"/>
    <xf numFmtId="164" fontId="20" fillId="0" borderId="1" xfId="1" applyNumberFormat="1" applyFont="1" applyBorder="1"/>
    <xf numFmtId="164" fontId="13" fillId="0" borderId="8" xfId="0" applyFont="1" applyBorder="1" applyAlignment="1">
      <alignment wrapText="1"/>
    </xf>
    <xf numFmtId="164" fontId="20" fillId="6" borderId="8" xfId="1" applyNumberFormat="1" applyFont="1" applyFill="1" applyBorder="1" applyAlignment="1">
      <alignment horizontal="right"/>
    </xf>
    <xf numFmtId="164" fontId="20" fillId="0" borderId="8" xfId="1" quotePrefix="1" applyNumberFormat="1" applyFont="1" applyBorder="1" applyAlignment="1">
      <alignment horizontal="right"/>
    </xf>
    <xf numFmtId="164" fontId="20" fillId="6" borderId="8" xfId="1" quotePrefix="1" applyNumberFormat="1" applyFont="1" applyFill="1" applyBorder="1" applyAlignment="1">
      <alignment horizontal="right"/>
    </xf>
    <xf numFmtId="164" fontId="20" fillId="0" borderId="8" xfId="1" applyNumberFormat="1" applyFont="1" applyBorder="1" applyAlignment="1">
      <alignment horizontal="right"/>
    </xf>
    <xf numFmtId="174" fontId="20" fillId="0" borderId="10" xfId="1" applyNumberFormat="1" applyFont="1" applyBorder="1"/>
    <xf numFmtId="174" fontId="20" fillId="6" borderId="10" xfId="1" applyNumberFormat="1" applyFont="1" applyFill="1" applyBorder="1"/>
    <xf numFmtId="164" fontId="0" fillId="0" borderId="14" xfId="0" applyBorder="1"/>
    <xf numFmtId="164" fontId="20" fillId="10" borderId="11" xfId="0" applyFont="1" applyFill="1" applyBorder="1"/>
    <xf numFmtId="164" fontId="22" fillId="4" borderId="0" xfId="0" applyFont="1" applyFill="1" applyAlignment="1">
      <alignment horizontal="center"/>
    </xf>
    <xf numFmtId="164" fontId="16" fillId="4" borderId="1" xfId="0" applyFont="1" applyFill="1" applyBorder="1" applyAlignment="1">
      <alignment horizontal="center" vertical="center" wrapText="1"/>
    </xf>
    <xf numFmtId="164" fontId="20" fillId="4" borderId="86" xfId="0" applyFont="1" applyFill="1" applyBorder="1" applyAlignment="1">
      <alignment horizontal="center"/>
    </xf>
    <xf numFmtId="164" fontId="12" fillId="4" borderId="41" xfId="0" applyFont="1" applyFill="1" applyBorder="1" applyAlignment="1">
      <alignment horizontal="fill"/>
    </xf>
    <xf numFmtId="164" fontId="14" fillId="7" borderId="34" xfId="0" applyFont="1" applyFill="1" applyBorder="1" applyAlignment="1" applyProtection="1">
      <alignment horizontal="center"/>
      <protection locked="0"/>
    </xf>
    <xf numFmtId="164" fontId="47" fillId="11" borderId="20" xfId="0" applyFont="1" applyFill="1" applyBorder="1"/>
    <xf numFmtId="164" fontId="20" fillId="11" borderId="6" xfId="0" applyFont="1" applyFill="1" applyBorder="1"/>
    <xf numFmtId="164" fontId="13" fillId="11" borderId="103" xfId="0" applyFont="1" applyFill="1" applyBorder="1" applyAlignment="1">
      <alignment vertical="top"/>
    </xf>
    <xf numFmtId="164" fontId="47" fillId="11" borderId="6" xfId="0" applyFont="1" applyFill="1" applyBorder="1"/>
    <xf numFmtId="164" fontId="31" fillId="11" borderId="21" xfId="0" applyFont="1" applyFill="1" applyBorder="1"/>
    <xf numFmtId="164" fontId="15" fillId="0" borderId="0" xfId="0" applyFont="1"/>
    <xf numFmtId="168" fontId="53" fillId="8" borderId="9" xfId="0" applyNumberFormat="1" applyFont="1" applyFill="1" applyBorder="1" applyAlignment="1">
      <alignment horizontal="left"/>
    </xf>
    <xf numFmtId="168" fontId="20" fillId="8" borderId="9" xfId="0" applyNumberFormat="1" applyFont="1" applyFill="1" applyBorder="1" applyAlignment="1">
      <alignment horizontal="center"/>
    </xf>
    <xf numFmtId="3" fontId="53" fillId="8" borderId="9" xfId="0" applyNumberFormat="1" applyFont="1" applyFill="1" applyBorder="1" applyAlignment="1" applyProtection="1">
      <alignment horizontal="center"/>
      <protection locked="0"/>
    </xf>
    <xf numFmtId="164" fontId="0" fillId="0" borderId="15" xfId="0" applyBorder="1"/>
    <xf numFmtId="164" fontId="0" fillId="0" borderId="16" xfId="0" applyBorder="1"/>
    <xf numFmtId="164" fontId="0" fillId="0" borderId="17" xfId="0" applyBorder="1"/>
    <xf numFmtId="164" fontId="0" fillId="0" borderId="18" xfId="0" applyBorder="1"/>
    <xf numFmtId="164" fontId="0" fillId="0" borderId="20" xfId="0" applyBorder="1"/>
    <xf numFmtId="164" fontId="0" fillId="0" borderId="6" xfId="0" applyBorder="1"/>
    <xf numFmtId="164" fontId="0" fillId="0" borderId="21" xfId="0" applyBorder="1"/>
    <xf numFmtId="164" fontId="15" fillId="0" borderId="15" xfId="0" applyFont="1" applyBorder="1"/>
    <xf numFmtId="164" fontId="15" fillId="0" borderId="14" xfId="0" quotePrefix="1" applyFont="1" applyBorder="1"/>
    <xf numFmtId="164" fontId="0" fillId="0" borderId="4" xfId="0" applyBorder="1"/>
    <xf numFmtId="164" fontId="98" fillId="0" borderId="0" xfId="0" applyFont="1"/>
    <xf numFmtId="164" fontId="16" fillId="0" borderId="16" xfId="0" applyFont="1" applyBorder="1"/>
    <xf numFmtId="164" fontId="98" fillId="0" borderId="14" xfId="0" applyFont="1" applyBorder="1"/>
    <xf numFmtId="164" fontId="79" fillId="4" borderId="1" xfId="0" applyFont="1" applyFill="1" applyBorder="1" applyAlignment="1">
      <alignment horizontal="center" vertical="top"/>
    </xf>
    <xf numFmtId="164" fontId="0" fillId="20" borderId="0" xfId="0" applyFill="1"/>
    <xf numFmtId="164" fontId="15" fillId="0" borderId="1" xfId="0" applyFont="1" applyBorder="1"/>
    <xf numFmtId="164" fontId="20" fillId="0" borderId="3" xfId="0" applyFont="1" applyBorder="1" applyAlignment="1">
      <alignment horizontal="center"/>
    </xf>
    <xf numFmtId="164" fontId="20" fillId="0" borderId="4" xfId="0" applyFont="1" applyBorder="1" applyAlignment="1">
      <alignment horizontal="center"/>
    </xf>
    <xf numFmtId="164" fontId="20" fillId="0" borderId="5" xfId="0" applyFont="1" applyBorder="1" applyAlignment="1">
      <alignment horizontal="center"/>
    </xf>
    <xf numFmtId="0" fontId="7" fillId="0" borderId="0" xfId="6"/>
    <xf numFmtId="0" fontId="7" fillId="0" borderId="0" xfId="6" applyAlignment="1">
      <alignment vertical="top"/>
    </xf>
    <xf numFmtId="0" fontId="102" fillId="0" borderId="0" xfId="6" applyFont="1" applyAlignment="1">
      <alignment horizontal="right"/>
    </xf>
    <xf numFmtId="0" fontId="109" fillId="0" borderId="0" xfId="6" applyFont="1"/>
    <xf numFmtId="2" fontId="109" fillId="0" borderId="0" xfId="6" applyNumberFormat="1" applyFont="1"/>
    <xf numFmtId="0" fontId="7" fillId="21" borderId="21" xfId="6" applyFill="1" applyBorder="1"/>
    <xf numFmtId="0" fontId="7" fillId="21" borderId="6" xfId="6" applyFill="1" applyBorder="1"/>
    <xf numFmtId="0" fontId="102" fillId="21" borderId="20" xfId="6" applyFont="1" applyFill="1" applyBorder="1" applyAlignment="1">
      <alignment horizontal="right"/>
    </xf>
    <xf numFmtId="0" fontId="7" fillId="21" borderId="18" xfId="6" applyFill="1" applyBorder="1" applyAlignment="1">
      <alignment vertical="top"/>
    </xf>
    <xf numFmtId="0" fontId="7" fillId="21" borderId="0" xfId="6" applyFill="1" applyAlignment="1">
      <alignment horizontal="left" vertical="top"/>
    </xf>
    <xf numFmtId="0" fontId="102" fillId="21" borderId="14" xfId="6" applyFont="1" applyFill="1" applyBorder="1" applyAlignment="1">
      <alignment horizontal="right" vertical="top"/>
    </xf>
    <xf numFmtId="0" fontId="7" fillId="21" borderId="18" xfId="6" applyFill="1" applyBorder="1"/>
    <xf numFmtId="0" fontId="102" fillId="21" borderId="14" xfId="6" applyFont="1" applyFill="1" applyBorder="1" applyAlignment="1">
      <alignment horizontal="right"/>
    </xf>
    <xf numFmtId="0" fontId="111" fillId="21" borderId="0" xfId="6" applyFont="1" applyFill="1"/>
    <xf numFmtId="0" fontId="102" fillId="21" borderId="0" xfId="6" applyFont="1" applyFill="1"/>
    <xf numFmtId="0" fontId="7" fillId="21" borderId="17" xfId="6" applyFill="1" applyBorder="1"/>
    <xf numFmtId="0" fontId="7" fillId="21" borderId="16" xfId="6" applyFill="1" applyBorder="1"/>
    <xf numFmtId="0" fontId="102" fillId="21" borderId="15" xfId="6" applyFont="1" applyFill="1" applyBorder="1" applyAlignment="1">
      <alignment horizontal="right"/>
    </xf>
    <xf numFmtId="10" fontId="15" fillId="6" borderId="1" xfId="0" applyNumberFormat="1" applyFont="1" applyFill="1" applyBorder="1"/>
    <xf numFmtId="164" fontId="20" fillId="6" borderId="80" xfId="1" applyNumberFormat="1" applyFont="1" applyFill="1" applyBorder="1"/>
    <xf numFmtId="164" fontId="22" fillId="0" borderId="39" xfId="1" applyNumberFormat="1" applyFont="1" applyBorder="1" applyAlignment="1">
      <alignment horizontal="left"/>
    </xf>
    <xf numFmtId="164" fontId="16" fillId="4" borderId="8" xfId="0" applyFont="1" applyFill="1" applyBorder="1" applyAlignment="1">
      <alignment horizontal="center" vertical="center"/>
    </xf>
    <xf numFmtId="164" fontId="16" fillId="4" borderId="1" xfId="0" applyFont="1" applyFill="1" applyBorder="1" applyAlignment="1">
      <alignment horizontal="center" vertical="center"/>
    </xf>
    <xf numFmtId="164" fontId="16" fillId="4" borderId="8" xfId="0" applyFont="1" applyFill="1" applyBorder="1" applyAlignment="1">
      <alignment horizontal="center"/>
    </xf>
    <xf numFmtId="164" fontId="15" fillId="0" borderId="152" xfId="0" applyFont="1" applyBorder="1" applyAlignment="1" applyProtection="1">
      <alignment horizontal="left" vertical="top" wrapText="1"/>
      <protection locked="0"/>
    </xf>
    <xf numFmtId="164" fontId="15" fillId="0" borderId="151" xfId="0" applyFont="1" applyBorder="1" applyAlignment="1" applyProtection="1">
      <alignment horizontal="left" vertical="top" wrapText="1"/>
      <protection locked="0"/>
    </xf>
    <xf numFmtId="164" fontId="15" fillId="0" borderId="153" xfId="0" applyFont="1" applyBorder="1" applyAlignment="1" applyProtection="1">
      <alignment horizontal="left" vertical="top" wrapText="1"/>
      <protection locked="0"/>
    </xf>
    <xf numFmtId="164" fontId="13" fillId="4" borderId="15" xfId="0" applyFont="1" applyFill="1" applyBorder="1" applyAlignment="1">
      <alignment horizontal="center"/>
    </xf>
    <xf numFmtId="164" fontId="13" fillId="4" borderId="16" xfId="0" applyFont="1" applyFill="1" applyBorder="1" applyAlignment="1">
      <alignment horizontal="center"/>
    </xf>
    <xf numFmtId="164" fontId="13" fillId="4" borderId="17" xfId="0" applyFont="1" applyFill="1" applyBorder="1" applyAlignment="1">
      <alignment horizontal="center"/>
    </xf>
    <xf numFmtId="164" fontId="60" fillId="4" borderId="14" xfId="0" applyFont="1" applyFill="1" applyBorder="1" applyAlignment="1">
      <alignment horizontal="left" wrapText="1"/>
    </xf>
    <xf numFmtId="164" fontId="60" fillId="4" borderId="0" xfId="0" applyFont="1" applyFill="1" applyAlignment="1">
      <alignment horizontal="left" wrapText="1"/>
    </xf>
    <xf numFmtId="164" fontId="60" fillId="4" borderId="18" xfId="0" applyFont="1" applyFill="1" applyBorder="1" applyAlignment="1">
      <alignment horizontal="left" wrapText="1"/>
    </xf>
    <xf numFmtId="164" fontId="61" fillId="4" borderId="14" xfId="0" applyFont="1" applyFill="1" applyBorder="1" applyAlignment="1">
      <alignment horizontal="left" wrapText="1"/>
    </xf>
    <xf numFmtId="164" fontId="61" fillId="4" borderId="0" xfId="0" applyFont="1" applyFill="1" applyAlignment="1">
      <alignment horizontal="left" wrapText="1"/>
    </xf>
    <xf numFmtId="164" fontId="61" fillId="4" borderId="18" xfId="0" applyFont="1" applyFill="1" applyBorder="1" applyAlignment="1">
      <alignment horizontal="left" wrapText="1"/>
    </xf>
    <xf numFmtId="164" fontId="24" fillId="0" borderId="15" xfId="0" applyFont="1" applyBorder="1" applyAlignment="1">
      <alignment horizontal="center"/>
    </xf>
    <xf numFmtId="164" fontId="0" fillId="0" borderId="16" xfId="0" applyBorder="1" applyAlignment="1">
      <alignment horizontal="center"/>
    </xf>
    <xf numFmtId="164" fontId="0" fillId="0" borderId="17" xfId="0" applyBorder="1" applyAlignment="1">
      <alignment horizontal="center"/>
    </xf>
    <xf numFmtId="164" fontId="15" fillId="0" borderId="154" xfId="0" applyFont="1" applyBorder="1" applyAlignment="1" applyProtection="1">
      <alignment horizontal="left" vertical="top" wrapText="1"/>
      <protection locked="0"/>
    </xf>
    <xf numFmtId="164" fontId="15" fillId="0" borderId="155" xfId="0" applyFont="1" applyBorder="1" applyAlignment="1" applyProtection="1">
      <alignment horizontal="left" vertical="top" wrapText="1"/>
      <protection locked="0"/>
    </xf>
    <xf numFmtId="164" fontId="15" fillId="0" borderId="156" xfId="0" applyFont="1" applyBorder="1" applyAlignment="1" applyProtection="1">
      <alignment horizontal="left" vertical="top" wrapText="1"/>
      <protection locked="0"/>
    </xf>
    <xf numFmtId="164" fontId="51" fillId="0" borderId="9" xfId="0" applyFont="1" applyBorder="1" applyAlignment="1">
      <alignment horizontal="center"/>
    </xf>
    <xf numFmtId="0" fontId="57" fillId="21" borderId="0" xfId="3" applyNumberFormat="1" applyFill="1" applyBorder="1" applyAlignment="1">
      <alignment horizontal="center" vertical="center"/>
    </xf>
    <xf numFmtId="1" fontId="13" fillId="4" borderId="9" xfId="0" applyNumberFormat="1" applyFont="1" applyFill="1" applyBorder="1" applyAlignment="1">
      <alignment horizontal="center"/>
    </xf>
    <xf numFmtId="3" fontId="13" fillId="4" borderId="9" xfId="0" applyNumberFormat="1" applyFont="1" applyFill="1" applyBorder="1" applyAlignment="1">
      <alignment horizontal="center"/>
    </xf>
    <xf numFmtId="164" fontId="0" fillId="12" borderId="0" xfId="0" applyFill="1" applyAlignment="1">
      <alignment horizontal="right"/>
    </xf>
    <xf numFmtId="164" fontId="0" fillId="4" borderId="0" xfId="0" applyFill="1" applyAlignment="1">
      <alignment horizontal="right"/>
    </xf>
    <xf numFmtId="164" fontId="27" fillId="4" borderId="0" xfId="0" applyFont="1" applyFill="1" applyAlignment="1">
      <alignment horizontal="right"/>
    </xf>
    <xf numFmtId="164" fontId="13" fillId="4" borderId="0" xfId="0" applyFont="1" applyFill="1" applyAlignment="1" applyProtection="1">
      <alignment horizontal="right"/>
      <protection locked="0"/>
    </xf>
    <xf numFmtId="3" fontId="18" fillId="4" borderId="0" xfId="0" applyNumberFormat="1" applyFont="1" applyFill="1" applyAlignment="1">
      <alignment horizontal="right"/>
    </xf>
    <xf numFmtId="4" fontId="18" fillId="4" borderId="0" xfId="0" applyNumberFormat="1" applyFont="1" applyFill="1" applyAlignment="1">
      <alignment horizontal="right"/>
    </xf>
    <xf numFmtId="164" fontId="34" fillId="4" borderId="0" xfId="0" applyFont="1" applyFill="1" applyAlignment="1">
      <alignment horizontal="right"/>
    </xf>
    <xf numFmtId="3" fontId="20" fillId="4" borderId="0" xfId="0" applyNumberFormat="1" applyFont="1" applyFill="1" applyAlignment="1">
      <alignment horizontal="right"/>
    </xf>
    <xf numFmtId="172" fontId="20" fillId="4" borderId="0" xfId="0" applyNumberFormat="1" applyFont="1" applyFill="1" applyAlignment="1">
      <alignment horizontal="right"/>
    </xf>
    <xf numFmtId="164" fontId="19" fillId="4" borderId="0" xfId="0" applyFont="1" applyFill="1" applyAlignment="1">
      <alignment horizontal="right"/>
    </xf>
    <xf numFmtId="168" fontId="13" fillId="4" borderId="0" xfId="0" applyNumberFormat="1" applyFont="1" applyFill="1" applyAlignment="1">
      <alignment horizontal="right"/>
    </xf>
    <xf numFmtId="1" fontId="20" fillId="4" borderId="0" xfId="0" applyNumberFormat="1" applyFont="1" applyFill="1" applyAlignment="1">
      <alignment horizontal="right"/>
    </xf>
    <xf numFmtId="3" fontId="13" fillId="4" borderId="0" xfId="0" applyNumberFormat="1" applyFont="1" applyFill="1" applyAlignment="1">
      <alignment horizontal="right"/>
    </xf>
    <xf numFmtId="1" fontId="13" fillId="4" borderId="8" xfId="0" applyNumberFormat="1" applyFont="1" applyFill="1" applyBorder="1" applyAlignment="1">
      <alignment horizontal="right"/>
    </xf>
    <xf numFmtId="3" fontId="13" fillId="4" borderId="8" xfId="0" applyNumberFormat="1" applyFont="1" applyFill="1" applyBorder="1" applyAlignment="1">
      <alignment horizontal="right"/>
    </xf>
    <xf numFmtId="164" fontId="0" fillId="4" borderId="6" xfId="0" applyFill="1" applyBorder="1" applyAlignment="1">
      <alignment horizontal="right"/>
    </xf>
    <xf numFmtId="164" fontId="0" fillId="0" borderId="0" xfId="0" applyAlignment="1">
      <alignment horizontal="right"/>
    </xf>
    <xf numFmtId="164" fontId="15" fillId="0" borderId="0" xfId="0" applyFont="1" applyAlignment="1">
      <alignment horizontal="right"/>
    </xf>
    <xf numFmtId="164" fontId="42" fillId="0" borderId="14" xfId="0" applyFont="1" applyBorder="1" applyAlignment="1" applyProtection="1">
      <alignment horizontal="center"/>
      <protection locked="0"/>
    </xf>
    <xf numFmtId="164" fontId="13" fillId="7" borderId="34" xfId="0" applyFont="1" applyFill="1" applyBorder="1" applyAlignment="1" applyProtection="1">
      <alignment horizontal="right"/>
      <protection locked="0"/>
    </xf>
    <xf numFmtId="49" fontId="39" fillId="4" borderId="0" xfId="0" applyNumberFormat="1" applyFont="1" applyFill="1"/>
    <xf numFmtId="0" fontId="38" fillId="4" borderId="0" xfId="0" applyNumberFormat="1" applyFont="1" applyFill="1" applyAlignment="1">
      <alignment horizontal="left"/>
    </xf>
    <xf numFmtId="175" fontId="38" fillId="4" borderId="0" xfId="0" applyNumberFormat="1" applyFont="1" applyFill="1" applyAlignment="1">
      <alignment horizontal="left"/>
    </xf>
    <xf numFmtId="0" fontId="54" fillId="7" borderId="1" xfId="0" applyNumberFormat="1" applyFont="1" applyFill="1" applyBorder="1" applyAlignment="1" applyProtection="1">
      <alignment horizontal="left"/>
      <protection locked="0"/>
    </xf>
    <xf numFmtId="1" fontId="20" fillId="4" borderId="1" xfId="0" applyNumberFormat="1" applyFont="1" applyFill="1" applyBorder="1" applyAlignment="1">
      <alignment horizontal="center"/>
    </xf>
    <xf numFmtId="164" fontId="50" fillId="0" borderId="1" xfId="0" applyFont="1" applyBorder="1" applyAlignment="1">
      <alignment horizontal="center"/>
    </xf>
    <xf numFmtId="164" fontId="20" fillId="4" borderId="2" xfId="0" applyFont="1" applyFill="1" applyBorder="1" applyAlignment="1">
      <alignment horizontal="left"/>
    </xf>
    <xf numFmtId="164" fontId="18" fillId="4" borderId="2" xfId="0" applyFont="1" applyFill="1" applyBorder="1" applyAlignment="1">
      <alignment horizontal="center"/>
    </xf>
    <xf numFmtId="1" fontId="18" fillId="4" borderId="2" xfId="0" applyNumberFormat="1" applyFont="1" applyFill="1" applyBorder="1" applyAlignment="1">
      <alignment horizontal="center"/>
    </xf>
    <xf numFmtId="164" fontId="18" fillId="4" borderId="1" xfId="0" applyFont="1" applyFill="1" applyBorder="1" applyAlignment="1">
      <alignment horizontal="center"/>
    </xf>
    <xf numFmtId="164" fontId="20" fillId="4" borderId="1" xfId="0" applyFont="1" applyFill="1" applyBorder="1" applyAlignment="1">
      <alignment horizontal="left"/>
    </xf>
    <xf numFmtId="170" fontId="20" fillId="4" borderId="1" xfId="0" applyNumberFormat="1" applyFont="1" applyFill="1" applyBorder="1" applyAlignment="1">
      <alignment horizontal="left"/>
    </xf>
    <xf numFmtId="1" fontId="18" fillId="4" borderId="1" xfId="0" applyNumberFormat="1" applyFont="1" applyFill="1" applyBorder="1" applyAlignment="1">
      <alignment horizontal="center"/>
    </xf>
    <xf numFmtId="164" fontId="113" fillId="4" borderId="1" xfId="0" applyFont="1" applyFill="1" applyBorder="1"/>
    <xf numFmtId="164" fontId="20" fillId="4" borderId="1" xfId="0" applyFont="1" applyFill="1" applyBorder="1" applyAlignment="1">
      <alignment horizontal="center"/>
    </xf>
    <xf numFmtId="165" fontId="20" fillId="4" borderId="1" xfId="0" applyNumberFormat="1" applyFont="1" applyFill="1" applyBorder="1" applyAlignment="1">
      <alignment horizontal="center"/>
    </xf>
    <xf numFmtId="165" fontId="20" fillId="4" borderId="7" xfId="0" applyNumberFormat="1" applyFont="1" applyFill="1" applyBorder="1" applyAlignment="1">
      <alignment horizontal="center"/>
    </xf>
    <xf numFmtId="164" fontId="113" fillId="4" borderId="0" xfId="0" applyFont="1" applyFill="1"/>
    <xf numFmtId="167" fontId="20" fillId="4" borderId="2" xfId="0" applyNumberFormat="1" applyFont="1" applyFill="1" applyBorder="1" applyAlignment="1">
      <alignment horizontal="center"/>
    </xf>
    <xf numFmtId="164" fontId="18" fillId="3" borderId="2" xfId="0" applyFont="1" applyFill="1" applyBorder="1" applyAlignment="1" applyProtection="1">
      <alignment horizontal="center"/>
      <protection locked="0"/>
    </xf>
    <xf numFmtId="3" fontId="18" fillId="2" borderId="2" xfId="0" applyNumberFormat="1" applyFont="1" applyFill="1" applyBorder="1" applyAlignment="1">
      <alignment horizontal="center"/>
    </xf>
    <xf numFmtId="164" fontId="18" fillId="3" borderId="1" xfId="0" applyFont="1" applyFill="1" applyBorder="1" applyAlignment="1" applyProtection="1">
      <alignment horizontal="center"/>
      <protection locked="0"/>
    </xf>
    <xf numFmtId="3" fontId="18" fillId="2" borderId="1" xfId="0" applyNumberFormat="1" applyFont="1" applyFill="1" applyBorder="1" applyAlignment="1">
      <alignment horizontal="center"/>
    </xf>
    <xf numFmtId="1" fontId="18" fillId="2" borderId="1" xfId="0" applyNumberFormat="1" applyFont="1" applyFill="1" applyBorder="1" applyAlignment="1">
      <alignment horizontal="center"/>
    </xf>
    <xf numFmtId="164" fontId="21" fillId="4" borderId="0" xfId="0" applyFont="1" applyFill="1"/>
    <xf numFmtId="2" fontId="18" fillId="2" borderId="1" xfId="0" applyNumberFormat="1" applyFont="1" applyFill="1" applyBorder="1" applyAlignment="1">
      <alignment horizontal="center"/>
    </xf>
    <xf numFmtId="164" fontId="16" fillId="0" borderId="1" xfId="0" applyFont="1" applyBorder="1" applyAlignment="1">
      <alignment horizontal="center"/>
    </xf>
    <xf numFmtId="0" fontId="6" fillId="0" borderId="0" xfId="11"/>
    <xf numFmtId="1" fontId="6" fillId="0" borderId="0" xfId="11" applyNumberFormat="1"/>
    <xf numFmtId="0" fontId="102" fillId="0" borderId="0" xfId="11" applyFont="1" applyAlignment="1">
      <alignment horizontal="center"/>
    </xf>
    <xf numFmtId="0" fontId="102" fillId="8" borderId="21" xfId="11" applyFont="1" applyFill="1" applyBorder="1" applyAlignment="1">
      <alignment horizontal="center"/>
    </xf>
    <xf numFmtId="0" fontId="102" fillId="8" borderId="6" xfId="11" applyFont="1" applyFill="1" applyBorder="1" applyAlignment="1">
      <alignment horizontal="center"/>
    </xf>
    <xf numFmtId="0" fontId="102" fillId="8" borderId="103" xfId="11" applyFont="1" applyFill="1" applyBorder="1" applyAlignment="1">
      <alignment horizontal="center"/>
    </xf>
    <xf numFmtId="0" fontId="102" fillId="8" borderId="20" xfId="11" applyFont="1" applyFill="1" applyBorder="1" applyAlignment="1">
      <alignment horizontal="center"/>
    </xf>
    <xf numFmtId="0" fontId="102" fillId="8" borderId="18" xfId="11" applyFont="1" applyFill="1" applyBorder="1" applyAlignment="1">
      <alignment horizontal="center"/>
    </xf>
    <xf numFmtId="1" fontId="102" fillId="12" borderId="1" xfId="11" applyNumberFormat="1" applyFont="1" applyFill="1" applyBorder="1" applyAlignment="1" applyProtection="1">
      <alignment horizontal="right"/>
      <protection locked="0"/>
    </xf>
    <xf numFmtId="1" fontId="6" fillId="12" borderId="1" xfId="11" applyNumberFormat="1" applyFill="1" applyBorder="1" applyProtection="1">
      <protection locked="0"/>
    </xf>
    <xf numFmtId="168" fontId="109" fillId="12" borderId="8" xfId="11" applyNumberFormat="1" applyFont="1" applyFill="1" applyBorder="1" applyProtection="1">
      <protection locked="0"/>
    </xf>
    <xf numFmtId="164" fontId="109" fillId="7" borderId="8" xfId="11" applyNumberFormat="1" applyFont="1" applyFill="1" applyBorder="1" applyProtection="1">
      <protection locked="0"/>
    </xf>
    <xf numFmtId="0" fontId="6" fillId="0" borderId="1" xfId="11" applyBorder="1" applyAlignment="1">
      <alignment horizontal="center"/>
    </xf>
    <xf numFmtId="0" fontId="102" fillId="8" borderId="14" xfId="11" applyFont="1" applyFill="1" applyBorder="1" applyAlignment="1">
      <alignment horizontal="center"/>
    </xf>
    <xf numFmtId="1" fontId="102" fillId="12" borderId="1" xfId="11" applyNumberFormat="1" applyFont="1" applyFill="1" applyBorder="1" applyProtection="1">
      <protection locked="0"/>
    </xf>
    <xf numFmtId="0" fontId="109" fillId="12" borderId="8" xfId="11" applyFont="1" applyFill="1" applyBorder="1" applyProtection="1">
      <protection locked="0"/>
    </xf>
    <xf numFmtId="1" fontId="102" fillId="12" borderId="1" xfId="11" applyNumberFormat="1" applyFont="1" applyFill="1" applyBorder="1"/>
    <xf numFmtId="1" fontId="6" fillId="12" borderId="1" xfId="11" applyNumberFormat="1" applyFill="1" applyBorder="1"/>
    <xf numFmtId="0" fontId="109" fillId="12" borderId="8" xfId="11" applyFont="1" applyFill="1" applyBorder="1"/>
    <xf numFmtId="10" fontId="102" fillId="0" borderId="0" xfId="11" applyNumberFormat="1" applyFont="1" applyAlignment="1">
      <alignment horizontal="center"/>
    </xf>
    <xf numFmtId="0" fontId="6" fillId="0" borderId="0" xfId="11" applyAlignment="1">
      <alignment horizontal="center" vertical="center"/>
    </xf>
    <xf numFmtId="0" fontId="6" fillId="0" borderId="0" xfId="11" applyAlignment="1">
      <alignment horizontal="center" vertical="center" wrapText="1"/>
    </xf>
    <xf numFmtId="0" fontId="6" fillId="8" borderId="18" xfId="11" applyFill="1" applyBorder="1"/>
    <xf numFmtId="0" fontId="102" fillId="21" borderId="7" xfId="11" applyFont="1" applyFill="1" applyBorder="1" applyAlignment="1">
      <alignment horizontal="right"/>
    </xf>
    <xf numFmtId="0" fontId="6" fillId="21" borderId="7" xfId="11" applyFill="1" applyBorder="1" applyAlignment="1">
      <alignment horizontal="center"/>
    </xf>
    <xf numFmtId="0" fontId="6" fillId="21" borderId="7" xfId="11" applyFill="1" applyBorder="1" applyAlignment="1">
      <alignment horizontal="center" wrapText="1"/>
    </xf>
    <xf numFmtId="168" fontId="102" fillId="8" borderId="0" xfId="11" applyNumberFormat="1" applyFont="1" applyFill="1" applyAlignment="1">
      <alignment horizontal="center"/>
    </xf>
    <xf numFmtId="0" fontId="6" fillId="8" borderId="14" xfId="11" applyFill="1" applyBorder="1"/>
    <xf numFmtId="0" fontId="6" fillId="8" borderId="17" xfId="11" applyFill="1" applyBorder="1"/>
    <xf numFmtId="168" fontId="6" fillId="8" borderId="16" xfId="11" applyNumberFormat="1" applyFill="1" applyBorder="1"/>
    <xf numFmtId="0" fontId="6" fillId="8" borderId="15" xfId="11" applyFill="1" applyBorder="1"/>
    <xf numFmtId="0" fontId="6" fillId="8" borderId="21" xfId="11" applyFill="1" applyBorder="1"/>
    <xf numFmtId="168" fontId="6" fillId="8" borderId="6" xfId="11" applyNumberFormat="1" applyFill="1" applyBorder="1"/>
    <xf numFmtId="0" fontId="6" fillId="8" borderId="20" xfId="11" applyFill="1" applyBorder="1"/>
    <xf numFmtId="0" fontId="106" fillId="0" borderId="0" xfId="11" applyFont="1"/>
    <xf numFmtId="168" fontId="106" fillId="0" borderId="0" xfId="11" applyNumberFormat="1" applyFont="1"/>
    <xf numFmtId="0" fontId="107" fillId="0" borderId="0" xfId="11" applyFont="1"/>
    <xf numFmtId="168" fontId="6" fillId="0" borderId="0" xfId="11" applyNumberFormat="1"/>
    <xf numFmtId="0" fontId="6" fillId="0" borderId="170" xfId="11" applyBorder="1"/>
    <xf numFmtId="0" fontId="6" fillId="0" borderId="171" xfId="11" applyBorder="1"/>
    <xf numFmtId="168" fontId="6" fillId="0" borderId="171" xfId="11" applyNumberFormat="1" applyBorder="1"/>
    <xf numFmtId="0" fontId="6" fillId="0" borderId="172" xfId="11" applyBorder="1"/>
    <xf numFmtId="0" fontId="6" fillId="0" borderId="29" xfId="11" applyBorder="1"/>
    <xf numFmtId="0" fontId="6" fillId="22" borderId="21" xfId="11" applyFill="1" applyBorder="1"/>
    <xf numFmtId="0" fontId="6" fillId="22" borderId="6" xfId="11" applyFill="1" applyBorder="1"/>
    <xf numFmtId="0" fontId="6" fillId="22" borderId="20" xfId="11" applyFill="1" applyBorder="1"/>
    <xf numFmtId="0" fontId="6" fillId="0" borderId="173" xfId="11" applyBorder="1"/>
    <xf numFmtId="0" fontId="6" fillId="22" borderId="18" xfId="11" applyFill="1" applyBorder="1"/>
    <xf numFmtId="1" fontId="102" fillId="0" borderId="1" xfId="11" applyNumberFormat="1" applyFont="1" applyBorder="1"/>
    <xf numFmtId="1" fontId="6" fillId="0" borderId="1" xfId="11" applyNumberFormat="1" applyBorder="1"/>
    <xf numFmtId="0" fontId="109" fillId="0" borderId="8" xfId="11" applyFont="1" applyBorder="1"/>
    <xf numFmtId="0" fontId="6" fillId="22" borderId="14" xfId="11" applyFill="1" applyBorder="1"/>
    <xf numFmtId="0" fontId="6" fillId="21" borderId="1" xfId="11" applyFill="1" applyBorder="1" applyAlignment="1">
      <alignment horizontal="center" vertical="center"/>
    </xf>
    <xf numFmtId="0" fontId="6" fillId="21" borderId="10" xfId="11" applyFill="1" applyBorder="1" applyAlignment="1">
      <alignment horizontal="center" vertical="center"/>
    </xf>
    <xf numFmtId="0" fontId="6" fillId="21" borderId="8" xfId="11" applyFill="1" applyBorder="1" applyAlignment="1">
      <alignment horizontal="center"/>
    </xf>
    <xf numFmtId="0" fontId="102" fillId="22" borderId="12" xfId="11" applyFont="1" applyFill="1" applyBorder="1"/>
    <xf numFmtId="0" fontId="6" fillId="22" borderId="0" xfId="11" applyFill="1"/>
    <xf numFmtId="0" fontId="6" fillId="22" borderId="17" xfId="11" applyFill="1" applyBorder="1"/>
    <xf numFmtId="168" fontId="6" fillId="22" borderId="16" xfId="11" applyNumberFormat="1" applyFill="1" applyBorder="1"/>
    <xf numFmtId="168" fontId="6" fillId="22" borderId="11" xfId="11" applyNumberFormat="1" applyFill="1" applyBorder="1"/>
    <xf numFmtId="0" fontId="6" fillId="22" borderId="11" xfId="11" applyFill="1" applyBorder="1"/>
    <xf numFmtId="0" fontId="6" fillId="22" borderId="157" xfId="11" applyFill="1" applyBorder="1"/>
    <xf numFmtId="0" fontId="6" fillId="0" borderId="0" xfId="11" applyAlignment="1">
      <alignment vertical="top"/>
    </xf>
    <xf numFmtId="0" fontId="6" fillId="22" borderId="18" xfId="11" applyFill="1" applyBorder="1" applyAlignment="1">
      <alignment vertical="top"/>
    </xf>
    <xf numFmtId="164" fontId="117" fillId="21" borderId="10" xfId="0" applyFont="1" applyFill="1" applyBorder="1" applyAlignment="1">
      <alignment horizontal="center"/>
    </xf>
    <xf numFmtId="0" fontId="6" fillId="21" borderId="8" xfId="11" applyFill="1" applyBorder="1"/>
    <xf numFmtId="0" fontId="6" fillId="0" borderId="0" xfId="11" applyAlignment="1">
      <alignment horizontal="center" vertical="top"/>
    </xf>
    <xf numFmtId="0" fontId="102" fillId="22" borderId="18" xfId="11" applyFont="1" applyFill="1" applyBorder="1" applyAlignment="1">
      <alignment horizontal="left" vertical="top"/>
    </xf>
    <xf numFmtId="0" fontId="6" fillId="22" borderId="0" xfId="11" applyFill="1" applyAlignment="1">
      <alignment vertical="top" wrapText="1"/>
    </xf>
    <xf numFmtId="0" fontId="6" fillId="22" borderId="16" xfId="11" applyFill="1" applyBorder="1"/>
    <xf numFmtId="0" fontId="6" fillId="22" borderId="15" xfId="11" applyFill="1" applyBorder="1"/>
    <xf numFmtId="0" fontId="6" fillId="0" borderId="174" xfId="11" applyBorder="1"/>
    <xf numFmtId="0" fontId="6" fillId="0" borderId="175" xfId="11" applyBorder="1"/>
    <xf numFmtId="0" fontId="106" fillId="0" borderId="175" xfId="11" applyFont="1" applyBorder="1"/>
    <xf numFmtId="0" fontId="107" fillId="0" borderId="175" xfId="11" applyFont="1" applyBorder="1"/>
    <xf numFmtId="0" fontId="6" fillId="0" borderId="176" xfId="11" applyBorder="1"/>
    <xf numFmtId="0" fontId="106" fillId="0" borderId="0" xfId="11" applyFont="1" applyAlignment="1">
      <alignment vertical="center"/>
    </xf>
    <xf numFmtId="0" fontId="6" fillId="0" borderId="0" xfId="11" applyAlignment="1">
      <alignment vertical="center"/>
    </xf>
    <xf numFmtId="0" fontId="6" fillId="8" borderId="18" xfId="11" applyFill="1" applyBorder="1" applyAlignment="1">
      <alignment vertical="center"/>
    </xf>
    <xf numFmtId="0" fontId="6" fillId="21" borderId="8" xfId="11" applyFill="1" applyBorder="1" applyAlignment="1">
      <alignment horizontal="center" vertical="center"/>
    </xf>
    <xf numFmtId="0" fontId="6" fillId="8" borderId="14" xfId="11" applyFill="1" applyBorder="1" applyAlignment="1">
      <alignment vertical="center"/>
    </xf>
    <xf numFmtId="0" fontId="102" fillId="8" borderId="12" xfId="11" applyFont="1" applyFill="1" applyBorder="1"/>
    <xf numFmtId="0" fontId="6" fillId="8" borderId="0" xfId="11" applyFill="1"/>
    <xf numFmtId="0" fontId="6" fillId="8" borderId="16" xfId="11" applyFill="1" applyBorder="1" applyAlignment="1">
      <alignment vertical="top" wrapText="1"/>
    </xf>
    <xf numFmtId="0" fontId="6" fillId="8" borderId="11" xfId="11" applyFill="1" applyBorder="1" applyAlignment="1">
      <alignment vertical="top" wrapText="1"/>
    </xf>
    <xf numFmtId="0" fontId="6" fillId="8" borderId="11" xfId="11" applyFill="1" applyBorder="1"/>
    <xf numFmtId="0" fontId="6" fillId="8" borderId="157" xfId="11" applyFill="1" applyBorder="1"/>
    <xf numFmtId="0" fontId="6" fillId="0" borderId="14" xfId="11" applyBorder="1"/>
    <xf numFmtId="0" fontId="6" fillId="8" borderId="0" xfId="11" applyFill="1" applyAlignment="1">
      <alignment vertical="top" wrapText="1"/>
    </xf>
    <xf numFmtId="0" fontId="109" fillId="8" borderId="0" xfId="11" applyFont="1" applyFill="1"/>
    <xf numFmtId="0" fontId="6" fillId="0" borderId="0" xfId="11" applyAlignment="1">
      <alignment horizontal="left"/>
    </xf>
    <xf numFmtId="0" fontId="6" fillId="8" borderId="16" xfId="11" applyFill="1" applyBorder="1"/>
    <xf numFmtId="2" fontId="6" fillId="0" borderId="0" xfId="11" applyNumberFormat="1"/>
    <xf numFmtId="0" fontId="95" fillId="0" borderId="0" xfId="11" applyFont="1" applyAlignment="1">
      <alignment horizontal="right"/>
    </xf>
    <xf numFmtId="2" fontId="6" fillId="8" borderId="6" xfId="11" applyNumberFormat="1" applyFill="1" applyBorder="1"/>
    <xf numFmtId="0" fontId="6" fillId="8" borderId="6" xfId="11" applyFill="1" applyBorder="1"/>
    <xf numFmtId="0" fontId="6" fillId="0" borderId="0" xfId="11" applyAlignment="1">
      <alignment horizontal="right"/>
    </xf>
    <xf numFmtId="0" fontId="6" fillId="8" borderId="23" xfId="11" applyFill="1" applyBorder="1" applyAlignment="1">
      <alignment horizontal="right"/>
    </xf>
    <xf numFmtId="2" fontId="6" fillId="7" borderId="1" xfId="11" applyNumberFormat="1" applyFill="1" applyBorder="1" applyProtection="1">
      <protection locked="0"/>
    </xf>
    <xf numFmtId="0" fontId="6" fillId="7" borderId="1" xfId="11" applyFill="1" applyBorder="1" applyProtection="1">
      <protection locked="0"/>
    </xf>
    <xf numFmtId="0" fontId="6" fillId="8" borderId="0" xfId="11" applyFill="1" applyAlignment="1">
      <alignment horizontal="right"/>
    </xf>
    <xf numFmtId="0" fontId="108" fillId="0" borderId="0" xfId="8" applyFill="1" applyBorder="1" applyAlignment="1" applyProtection="1">
      <alignment horizontal="left"/>
    </xf>
    <xf numFmtId="0" fontId="95" fillId="0" borderId="0" xfId="8" applyFont="1" applyFill="1" applyBorder="1" applyAlignment="1" applyProtection="1">
      <alignment horizontal="right"/>
    </xf>
    <xf numFmtId="0" fontId="109" fillId="8" borderId="0" xfId="11" quotePrefix="1" applyFont="1" applyFill="1"/>
    <xf numFmtId="0" fontId="95" fillId="0" borderId="0" xfId="11" quotePrefix="1" applyFont="1" applyAlignment="1">
      <alignment horizontal="left"/>
    </xf>
    <xf numFmtId="0" fontId="109" fillId="8" borderId="23" xfId="11" applyFont="1" applyFill="1" applyBorder="1"/>
    <xf numFmtId="0" fontId="6" fillId="21" borderId="1" xfId="11" applyFill="1" applyBorder="1"/>
    <xf numFmtId="0" fontId="6" fillId="8" borderId="84" xfId="11" applyFill="1" applyBorder="1"/>
    <xf numFmtId="0" fontId="108" fillId="8" borderId="23" xfId="8" applyFill="1" applyBorder="1" applyAlignment="1" applyProtection="1"/>
    <xf numFmtId="0" fontId="108" fillId="8" borderId="0" xfId="8" applyFill="1" applyBorder="1" applyAlignment="1" applyProtection="1"/>
    <xf numFmtId="0" fontId="110" fillId="0" borderId="0" xfId="11" applyFont="1"/>
    <xf numFmtId="9" fontId="95" fillId="0" borderId="0" xfId="10" applyFont="1"/>
    <xf numFmtId="1" fontId="95" fillId="0" borderId="0" xfId="11" applyNumberFormat="1" applyFont="1"/>
    <xf numFmtId="0" fontId="6" fillId="0" borderId="13" xfId="11" applyBorder="1"/>
    <xf numFmtId="0" fontId="6" fillId="0" borderId="12" xfId="11" applyBorder="1"/>
    <xf numFmtId="9" fontId="95" fillId="0" borderId="12" xfId="10" applyFont="1" applyBorder="1"/>
    <xf numFmtId="1" fontId="6" fillId="0" borderId="12" xfId="11" applyNumberFormat="1" applyBorder="1"/>
    <xf numFmtId="168" fontId="6" fillId="0" borderId="12" xfId="11" applyNumberFormat="1" applyBorder="1"/>
    <xf numFmtId="2" fontId="6" fillId="0" borderId="12" xfId="11" applyNumberFormat="1" applyBorder="1"/>
    <xf numFmtId="1" fontId="95" fillId="0" borderId="12" xfId="11" applyNumberFormat="1" applyFont="1" applyBorder="1"/>
    <xf numFmtId="0" fontId="6" fillId="0" borderId="26" xfId="11" applyBorder="1"/>
    <xf numFmtId="0" fontId="6" fillId="0" borderId="19" xfId="11" applyBorder="1"/>
    <xf numFmtId="9" fontId="95" fillId="0" borderId="0" xfId="10" applyFont="1" applyBorder="1"/>
    <xf numFmtId="1" fontId="6" fillId="0" borderId="19" xfId="11" applyNumberFormat="1" applyBorder="1"/>
    <xf numFmtId="0" fontId="6" fillId="0" borderId="23" xfId="11" applyBorder="1"/>
    <xf numFmtId="0" fontId="95" fillId="0" borderId="0" xfId="11" applyFont="1"/>
    <xf numFmtId="9" fontId="95" fillId="0" borderId="0" xfId="10" applyFont="1" applyFill="1" applyBorder="1"/>
    <xf numFmtId="168" fontId="95" fillId="0" borderId="0" xfId="11" applyNumberFormat="1" applyFont="1"/>
    <xf numFmtId="2" fontId="95" fillId="0" borderId="0" xfId="11" applyNumberFormat="1" applyFont="1"/>
    <xf numFmtId="1" fontId="95" fillId="0" borderId="19" xfId="11" applyNumberFormat="1" applyFont="1" applyBorder="1"/>
    <xf numFmtId="169" fontId="95" fillId="0" borderId="0" xfId="11" applyNumberFormat="1" applyFont="1"/>
    <xf numFmtId="0" fontId="103" fillId="0" borderId="0" xfId="11" applyFont="1"/>
    <xf numFmtId="164" fontId="95" fillId="0" borderId="0" xfId="0" applyFont="1"/>
    <xf numFmtId="2" fontId="95" fillId="0" borderId="0" xfId="0" applyNumberFormat="1" applyFont="1"/>
    <xf numFmtId="164" fontId="95" fillId="23" borderId="26" xfId="0" applyFont="1" applyFill="1" applyBorder="1" applyAlignment="1">
      <alignment horizontal="right"/>
    </xf>
    <xf numFmtId="164" fontId="95" fillId="23" borderId="23" xfId="0" applyFont="1" applyFill="1" applyBorder="1" applyAlignment="1">
      <alignment horizontal="right"/>
    </xf>
    <xf numFmtId="164" fontId="95" fillId="0" borderId="0" xfId="0" applyFont="1" applyAlignment="1">
      <alignment horizontal="right"/>
    </xf>
    <xf numFmtId="0" fontId="6" fillId="19" borderId="12" xfId="11" applyFill="1" applyBorder="1"/>
    <xf numFmtId="2" fontId="95" fillId="0" borderId="0" xfId="0" applyNumberFormat="1" applyFont="1" applyAlignment="1">
      <alignment horizontal="right"/>
    </xf>
    <xf numFmtId="164" fontId="95" fillId="23" borderId="1" xfId="0" applyFont="1" applyFill="1" applyBorder="1" applyAlignment="1">
      <alignment horizontal="right"/>
    </xf>
    <xf numFmtId="164" fontId="95" fillId="0" borderId="0" xfId="0" applyFont="1" applyAlignment="1">
      <alignment horizontal="left"/>
    </xf>
    <xf numFmtId="0" fontId="6" fillId="23" borderId="1" xfId="11" applyFill="1" applyBorder="1"/>
    <xf numFmtId="164" fontId="95" fillId="23" borderId="24" xfId="0" applyFont="1" applyFill="1" applyBorder="1" applyAlignment="1">
      <alignment horizontal="right"/>
    </xf>
    <xf numFmtId="0" fontId="6" fillId="0" borderId="11" xfId="11" applyBorder="1"/>
    <xf numFmtId="169" fontId="6" fillId="0" borderId="0" xfId="11" applyNumberFormat="1"/>
    <xf numFmtId="169" fontId="6" fillId="0" borderId="24" xfId="11" applyNumberFormat="1" applyBorder="1"/>
    <xf numFmtId="0" fontId="6" fillId="0" borderId="22" xfId="11" applyBorder="1"/>
    <xf numFmtId="2" fontId="6" fillId="19" borderId="12" xfId="11" applyNumberFormat="1" applyFill="1" applyBorder="1"/>
    <xf numFmtId="2" fontId="102" fillId="0" borderId="26" xfId="11" applyNumberFormat="1" applyFont="1" applyBorder="1"/>
    <xf numFmtId="2" fontId="6" fillId="0" borderId="23" xfId="11" applyNumberFormat="1" applyBorder="1"/>
    <xf numFmtId="2" fontId="102" fillId="0" borderId="0" xfId="11" applyNumberFormat="1" applyFont="1"/>
    <xf numFmtId="2" fontId="102" fillId="0" borderId="23" xfId="11" applyNumberFormat="1" applyFont="1" applyBorder="1"/>
    <xf numFmtId="2" fontId="102" fillId="19" borderId="23" xfId="11" applyNumberFormat="1" applyFont="1" applyFill="1" applyBorder="1"/>
    <xf numFmtId="2" fontId="6" fillId="0" borderId="11" xfId="11" applyNumberFormat="1" applyBorder="1"/>
    <xf numFmtId="2" fontId="102" fillId="0" borderId="11" xfId="11" applyNumberFormat="1" applyFont="1" applyBorder="1"/>
    <xf numFmtId="2" fontId="102" fillId="19" borderId="24" xfId="11" applyNumberFormat="1" applyFont="1" applyFill="1" applyBorder="1"/>
    <xf numFmtId="0" fontId="6" fillId="0" borderId="12" xfId="11" applyBorder="1" applyAlignment="1">
      <alignment horizontal="right"/>
    </xf>
    <xf numFmtId="164" fontId="101" fillId="0" borderId="0" xfId="0" applyFont="1" applyAlignment="1">
      <alignment horizontal="right"/>
    </xf>
    <xf numFmtId="164" fontId="101" fillId="0" borderId="23" xfId="0" applyFont="1" applyBorder="1" applyAlignment="1">
      <alignment horizontal="right"/>
    </xf>
    <xf numFmtId="164" fontId="95" fillId="0" borderId="11" xfId="0" applyFont="1" applyBorder="1" applyAlignment="1">
      <alignment horizontal="right"/>
    </xf>
    <xf numFmtId="0" fontId="6" fillId="0" borderId="11" xfId="11" applyBorder="1" applyAlignment="1">
      <alignment horizontal="center"/>
    </xf>
    <xf numFmtId="164" fontId="95" fillId="0" borderId="19" xfId="0" applyFont="1" applyBorder="1" applyAlignment="1">
      <alignment horizontal="right"/>
    </xf>
    <xf numFmtId="164" fontId="95" fillId="19" borderId="0" xfId="0" applyFont="1" applyFill="1"/>
    <xf numFmtId="164" fontId="95" fillId="0" borderId="12" xfId="0" applyFont="1" applyBorder="1" applyAlignment="1">
      <alignment horizontal="right"/>
    </xf>
    <xf numFmtId="164" fontId="95" fillId="6" borderId="12" xfId="0" applyFont="1" applyFill="1" applyBorder="1" applyAlignment="1">
      <alignment horizontal="right"/>
    </xf>
    <xf numFmtId="164" fontId="95" fillId="0" borderId="13" xfId="0" applyFont="1" applyBorder="1" applyAlignment="1">
      <alignment horizontal="right"/>
    </xf>
    <xf numFmtId="169" fontId="95" fillId="0" borderId="0" xfId="0" applyNumberFormat="1" applyFont="1"/>
    <xf numFmtId="0" fontId="95" fillId="0" borderId="0" xfId="0" applyNumberFormat="1" applyFont="1"/>
    <xf numFmtId="0" fontId="95" fillId="0" borderId="23" xfId="0" applyNumberFormat="1" applyFont="1" applyBorder="1"/>
    <xf numFmtId="0" fontId="6" fillId="0" borderId="23" xfId="11" applyBorder="1" applyAlignment="1">
      <alignment horizontal="left"/>
    </xf>
    <xf numFmtId="164" fontId="95" fillId="0" borderId="19" xfId="0" applyFont="1" applyBorder="1" applyAlignment="1">
      <alignment horizontal="center"/>
    </xf>
    <xf numFmtId="0" fontId="119" fillId="0" borderId="0" xfId="0" quotePrefix="1" applyNumberFormat="1" applyFont="1" applyAlignment="1">
      <alignment horizontal="right"/>
    </xf>
    <xf numFmtId="0" fontId="119" fillId="0" borderId="23" xfId="0" quotePrefix="1" applyNumberFormat="1" applyFont="1" applyBorder="1" applyAlignment="1">
      <alignment horizontal="right"/>
    </xf>
    <xf numFmtId="0" fontId="6" fillId="6" borderId="23" xfId="11" applyFill="1" applyBorder="1" applyAlignment="1">
      <alignment horizontal="left"/>
    </xf>
    <xf numFmtId="0" fontId="95" fillId="0" borderId="11" xfId="0" applyNumberFormat="1" applyFont="1" applyBorder="1"/>
    <xf numFmtId="0" fontId="119" fillId="0" borderId="24" xfId="0" quotePrefix="1" applyNumberFormat="1" applyFont="1" applyBorder="1" applyAlignment="1">
      <alignment horizontal="right"/>
    </xf>
    <xf numFmtId="164" fontId="95" fillId="0" borderId="11" xfId="0" applyFont="1" applyBorder="1"/>
    <xf numFmtId="0" fontId="6" fillId="0" borderId="24" xfId="11" applyBorder="1" applyAlignment="1">
      <alignment horizontal="left"/>
    </xf>
    <xf numFmtId="164" fontId="95" fillId="0" borderId="22" xfId="0" applyFont="1" applyBorder="1" applyAlignment="1">
      <alignment horizontal="center"/>
    </xf>
    <xf numFmtId="164" fontId="95" fillId="0" borderId="12" xfId="0" applyFont="1" applyBorder="1" applyAlignment="1">
      <alignment horizontal="left"/>
    </xf>
    <xf numFmtId="0" fontId="6" fillId="23" borderId="24" xfId="11" applyFill="1" applyBorder="1"/>
    <xf numFmtId="0" fontId="6" fillId="0" borderId="24" xfId="11" applyBorder="1"/>
    <xf numFmtId="1" fontId="6" fillId="23" borderId="0" xfId="11" applyNumberFormat="1" applyFill="1"/>
    <xf numFmtId="1" fontId="6" fillId="0" borderId="23" xfId="11" applyNumberFormat="1" applyBorder="1"/>
    <xf numFmtId="1" fontId="6" fillId="0" borderId="11" xfId="11" applyNumberFormat="1" applyBorder="1"/>
    <xf numFmtId="1" fontId="6" fillId="23" borderId="11" xfId="11" applyNumberFormat="1" applyFill="1" applyBorder="1"/>
    <xf numFmtId="1" fontId="6" fillId="0" borderId="22" xfId="11" applyNumberFormat="1" applyBorder="1"/>
    <xf numFmtId="1" fontId="6" fillId="0" borderId="24" xfId="11" applyNumberFormat="1" applyBorder="1"/>
    <xf numFmtId="1" fontId="6" fillId="23" borderId="12" xfId="11" applyNumberFormat="1" applyFill="1" applyBorder="1"/>
    <xf numFmtId="1" fontId="6" fillId="0" borderId="26" xfId="11" applyNumberFormat="1" applyBorder="1"/>
    <xf numFmtId="1" fontId="6" fillId="6" borderId="12" xfId="11" applyNumberFormat="1" applyFill="1" applyBorder="1"/>
    <xf numFmtId="1" fontId="6" fillId="0" borderId="13" xfId="11" applyNumberFormat="1" applyBorder="1"/>
    <xf numFmtId="1" fontId="6" fillId="6" borderId="0" xfId="11" applyNumberFormat="1" applyFill="1"/>
    <xf numFmtId="1" fontId="6" fillId="6" borderId="11" xfId="11" applyNumberFormat="1" applyFill="1" applyBorder="1"/>
    <xf numFmtId="0" fontId="6" fillId="23" borderId="0" xfId="11" applyFill="1"/>
    <xf numFmtId="169" fontId="95" fillId="0" borderId="13" xfId="10" applyNumberFormat="1" applyFont="1" applyBorder="1"/>
    <xf numFmtId="169" fontId="95" fillId="0" borderId="12" xfId="10" applyNumberFormat="1" applyFont="1" applyBorder="1"/>
    <xf numFmtId="169" fontId="6" fillId="0" borderId="12" xfId="10" applyNumberFormat="1" applyFont="1" applyBorder="1"/>
    <xf numFmtId="169" fontId="95" fillId="0" borderId="26" xfId="10" applyNumberFormat="1" applyFont="1" applyBorder="1"/>
    <xf numFmtId="169" fontId="95" fillId="0" borderId="19" xfId="10" applyNumberFormat="1" applyFont="1" applyBorder="1"/>
    <xf numFmtId="169" fontId="95" fillId="0" borderId="0" xfId="10" applyNumberFormat="1" applyFont="1" applyBorder="1"/>
    <xf numFmtId="169" fontId="6" fillId="0" borderId="0" xfId="10" applyNumberFormat="1" applyFont="1" applyBorder="1"/>
    <xf numFmtId="169" fontId="95" fillId="0" borderId="23" xfId="10" applyNumberFormat="1" applyFont="1" applyBorder="1"/>
    <xf numFmtId="14" fontId="6" fillId="0" borderId="0" xfId="11" applyNumberFormat="1"/>
    <xf numFmtId="0" fontId="6" fillId="0" borderId="19" xfId="11" applyBorder="1" applyAlignment="1">
      <alignment horizontal="left"/>
    </xf>
    <xf numFmtId="15" fontId="6" fillId="0" borderId="0" xfId="11" applyNumberFormat="1" applyAlignment="1">
      <alignment horizontal="left"/>
    </xf>
    <xf numFmtId="169" fontId="95" fillId="0" borderId="22" xfId="10" applyNumberFormat="1" applyFont="1" applyBorder="1"/>
    <xf numFmtId="169" fontId="95" fillId="0" borderId="11" xfId="10" applyNumberFormat="1" applyFont="1" applyBorder="1"/>
    <xf numFmtId="169" fontId="6" fillId="0" borderId="11" xfId="10" applyNumberFormat="1" applyFont="1" applyBorder="1"/>
    <xf numFmtId="169" fontId="95" fillId="0" borderId="24" xfId="10" applyNumberFormat="1" applyFont="1" applyBorder="1"/>
    <xf numFmtId="0" fontId="6" fillId="0" borderId="26" xfId="11" applyBorder="1" applyAlignment="1">
      <alignment horizontal="left"/>
    </xf>
    <xf numFmtId="0" fontId="6" fillId="0" borderId="13" xfId="11" applyBorder="1" applyAlignment="1">
      <alignment horizontal="right"/>
    </xf>
    <xf numFmtId="0" fontId="6" fillId="19" borderId="0" xfId="11" applyFill="1" applyAlignment="1">
      <alignment horizontal="left"/>
    </xf>
    <xf numFmtId="169" fontId="6" fillId="0" borderId="12" xfId="11" applyNumberFormat="1" applyBorder="1"/>
    <xf numFmtId="169" fontId="6" fillId="0" borderId="26" xfId="11" applyNumberFormat="1" applyBorder="1"/>
    <xf numFmtId="169" fontId="6" fillId="0" borderId="23" xfId="11" applyNumberFormat="1" applyBorder="1"/>
    <xf numFmtId="0" fontId="6" fillId="0" borderId="10" xfId="11" applyBorder="1"/>
    <xf numFmtId="0" fontId="6" fillId="0" borderId="8" xfId="11" applyBorder="1"/>
    <xf numFmtId="0" fontId="6" fillId="24" borderId="8" xfId="11" applyFill="1" applyBorder="1"/>
    <xf numFmtId="169" fontId="6" fillId="0" borderId="11" xfId="11" applyNumberFormat="1" applyBorder="1"/>
    <xf numFmtId="0" fontId="6" fillId="24" borderId="10" xfId="11" applyFill="1" applyBorder="1"/>
    <xf numFmtId="0" fontId="6" fillId="24" borderId="9" xfId="11" applyFill="1" applyBorder="1"/>
    <xf numFmtId="0" fontId="6" fillId="19" borderId="11" xfId="11" applyFill="1" applyBorder="1"/>
    <xf numFmtId="1" fontId="6" fillId="23" borderId="26" xfId="11" applyNumberFormat="1" applyFill="1" applyBorder="1"/>
    <xf numFmtId="1" fontId="6" fillId="23" borderId="23" xfId="11" applyNumberFormat="1" applyFill="1" applyBorder="1"/>
    <xf numFmtId="0" fontId="6" fillId="14" borderId="12" xfId="11" applyFill="1" applyBorder="1"/>
    <xf numFmtId="1" fontId="6" fillId="23" borderId="24" xfId="11" applyNumberFormat="1" applyFill="1" applyBorder="1"/>
    <xf numFmtId="0" fontId="6" fillId="6" borderId="11" xfId="11" applyFill="1" applyBorder="1"/>
    <xf numFmtId="2" fontId="6" fillId="23" borderId="23" xfId="11" applyNumberFormat="1" applyFill="1" applyBorder="1"/>
    <xf numFmtId="2" fontId="6" fillId="6" borderId="26" xfId="11" applyNumberFormat="1" applyFill="1" applyBorder="1" applyAlignment="1">
      <alignment horizontal="right"/>
    </xf>
    <xf numFmtId="2" fontId="6" fillId="6" borderId="23" xfId="11" applyNumberFormat="1" applyFill="1" applyBorder="1" applyAlignment="1">
      <alignment horizontal="right"/>
    </xf>
    <xf numFmtId="2" fontId="6" fillId="6" borderId="24" xfId="11" applyNumberFormat="1" applyFill="1" applyBorder="1" applyAlignment="1">
      <alignment horizontal="right"/>
    </xf>
    <xf numFmtId="1" fontId="95" fillId="0" borderId="23" xfId="11" applyNumberFormat="1" applyFont="1" applyBorder="1"/>
    <xf numFmtId="0" fontId="6" fillId="25" borderId="0" xfId="11" applyFill="1"/>
    <xf numFmtId="1" fontId="95" fillId="0" borderId="11" xfId="11" applyNumberFormat="1" applyFont="1" applyBorder="1"/>
    <xf numFmtId="1" fontId="95" fillId="0" borderId="24" xfId="11" applyNumberFormat="1" applyFont="1" applyBorder="1"/>
    <xf numFmtId="0" fontId="6" fillId="0" borderId="0" xfId="11" quotePrefix="1" applyAlignment="1">
      <alignment horizontal="left"/>
    </xf>
    <xf numFmtId="1" fontId="95" fillId="23" borderId="0" xfId="11" applyNumberFormat="1" applyFont="1" applyFill="1"/>
    <xf numFmtId="1" fontId="95" fillId="23" borderId="23" xfId="11" applyNumberFormat="1" applyFont="1" applyFill="1" applyBorder="1"/>
    <xf numFmtId="16" fontId="6" fillId="0" borderId="0" xfId="11" quotePrefix="1" applyNumberFormat="1"/>
    <xf numFmtId="0" fontId="6" fillId="19" borderId="0" xfId="11" applyFill="1"/>
    <xf numFmtId="168" fontId="101" fillId="7" borderId="0" xfId="11" applyNumberFormat="1" applyFont="1" applyFill="1"/>
    <xf numFmtId="168" fontId="101" fillId="0" borderId="0" xfId="11" applyNumberFormat="1" applyFont="1"/>
    <xf numFmtId="168" fontId="101" fillId="7" borderId="23" xfId="11" applyNumberFormat="1" applyFont="1" applyFill="1" applyBorder="1"/>
    <xf numFmtId="0" fontId="6" fillId="0" borderId="11" xfId="11" applyBorder="1" applyAlignment="1">
      <alignment horizontal="right"/>
    </xf>
    <xf numFmtId="0" fontId="6" fillId="0" borderId="11" xfId="11" quotePrefix="1" applyBorder="1" applyAlignment="1">
      <alignment horizontal="right"/>
    </xf>
    <xf numFmtId="0" fontId="95" fillId="0" borderId="11" xfId="11" quotePrefix="1" applyFont="1" applyBorder="1" applyAlignment="1">
      <alignment horizontal="right"/>
    </xf>
    <xf numFmtId="1" fontId="95" fillId="0" borderId="11" xfId="11" quotePrefix="1" applyNumberFormat="1" applyFont="1" applyBorder="1" applyAlignment="1">
      <alignment horizontal="right"/>
    </xf>
    <xf numFmtId="0" fontId="120" fillId="0" borderId="11" xfId="11" quotePrefix="1" applyFont="1" applyBorder="1" applyAlignment="1">
      <alignment horizontal="right"/>
    </xf>
    <xf numFmtId="0" fontId="101" fillId="25" borderId="11" xfId="11" applyFont="1" applyFill="1" applyBorder="1" applyAlignment="1">
      <alignment horizontal="right"/>
    </xf>
    <xf numFmtId="1" fontId="121" fillId="0" borderId="11" xfId="11" quotePrefix="1" applyNumberFormat="1" applyFont="1" applyBorder="1" applyAlignment="1">
      <alignment horizontal="right"/>
    </xf>
    <xf numFmtId="1" fontId="95" fillId="25" borderId="11" xfId="11" quotePrefix="1" applyNumberFormat="1" applyFont="1" applyFill="1" applyBorder="1" applyAlignment="1">
      <alignment horizontal="right"/>
    </xf>
    <xf numFmtId="1" fontId="95" fillId="0" borderId="11" xfId="11" applyNumberFormat="1" applyFont="1" applyBorder="1" applyAlignment="1">
      <alignment horizontal="right"/>
    </xf>
    <xf numFmtId="0" fontId="122" fillId="0" borderId="11" xfId="11" quotePrefix="1" applyFont="1" applyBorder="1" applyAlignment="1">
      <alignment horizontal="right"/>
    </xf>
    <xf numFmtId="1" fontId="95" fillId="0" borderId="24" xfId="11" applyNumberFormat="1" applyFont="1" applyBorder="1" applyAlignment="1">
      <alignment horizontal="right"/>
    </xf>
    <xf numFmtId="0" fontId="95" fillId="0" borderId="26" xfId="11" applyFont="1" applyBorder="1"/>
    <xf numFmtId="0" fontId="101" fillId="0" borderId="23" xfId="11" applyFont="1" applyBorder="1"/>
    <xf numFmtId="0" fontId="123" fillId="0" borderId="0" xfId="11" applyFont="1"/>
    <xf numFmtId="0" fontId="124" fillId="0" borderId="23" xfId="11" applyFont="1" applyBorder="1"/>
    <xf numFmtId="0" fontId="120" fillId="0" borderId="0" xfId="11" applyFont="1"/>
    <xf numFmtId="169" fontId="95" fillId="23" borderId="0" xfId="11" applyNumberFormat="1" applyFont="1" applyFill="1"/>
    <xf numFmtId="0" fontId="6" fillId="23" borderId="11" xfId="11" applyFill="1" applyBorder="1"/>
    <xf numFmtId="0" fontId="104" fillId="0" borderId="23" xfId="11" applyFont="1" applyBorder="1"/>
    <xf numFmtId="0" fontId="122" fillId="0" borderId="0" xfId="11" applyFont="1"/>
    <xf numFmtId="168" fontId="95" fillId="0" borderId="12" xfId="11" applyNumberFormat="1" applyFont="1" applyBorder="1"/>
    <xf numFmtId="0" fontId="125" fillId="0" borderId="23" xfId="11" applyFont="1" applyBorder="1"/>
    <xf numFmtId="0" fontId="121" fillId="0" borderId="19" xfId="11" applyFont="1" applyBorder="1"/>
    <xf numFmtId="0" fontId="6" fillId="0" borderId="1" xfId="11" applyBorder="1"/>
    <xf numFmtId="0" fontId="6" fillId="9" borderId="1" xfId="11" applyFill="1" applyBorder="1"/>
    <xf numFmtId="168" fontId="95" fillId="23" borderId="0" xfId="11" applyNumberFormat="1" applyFont="1" applyFill="1"/>
    <xf numFmtId="0" fontId="6" fillId="0" borderId="12" xfId="11" applyBorder="1" applyAlignment="1">
      <alignment horizontal="left"/>
    </xf>
    <xf numFmtId="168" fontId="101" fillId="7" borderId="12" xfId="11" applyNumberFormat="1" applyFont="1" applyFill="1" applyBorder="1"/>
    <xf numFmtId="168" fontId="101" fillId="0" borderId="12" xfId="11" applyNumberFormat="1" applyFont="1" applyBorder="1"/>
    <xf numFmtId="168" fontId="101" fillId="7" borderId="26" xfId="11" applyNumberFormat="1" applyFont="1" applyFill="1" applyBorder="1"/>
    <xf numFmtId="0" fontId="6" fillId="0" borderId="11" xfId="11" applyBorder="1" applyAlignment="1">
      <alignment horizontal="left"/>
    </xf>
    <xf numFmtId="168" fontId="6" fillId="0" borderId="11" xfId="11" applyNumberFormat="1" applyBorder="1"/>
    <xf numFmtId="168" fontId="95" fillId="0" borderId="11" xfId="11" applyNumberFormat="1" applyFont="1" applyBorder="1"/>
    <xf numFmtId="168" fontId="101" fillId="7" borderId="11" xfId="11" applyNumberFormat="1" applyFont="1" applyFill="1" applyBorder="1"/>
    <xf numFmtId="168" fontId="101" fillId="0" borderId="11" xfId="11" applyNumberFormat="1" applyFont="1" applyBorder="1"/>
    <xf numFmtId="168" fontId="101" fillId="7" borderId="24" xfId="11" applyNumberFormat="1" applyFont="1" applyFill="1" applyBorder="1"/>
    <xf numFmtId="0" fontId="95" fillId="19" borderId="0" xfId="11" applyFont="1" applyFill="1"/>
    <xf numFmtId="1" fontId="6" fillId="14" borderId="0" xfId="11" applyNumberFormat="1" applyFill="1"/>
    <xf numFmtId="0" fontId="6" fillId="14" borderId="0" xfId="11" applyFill="1"/>
    <xf numFmtId="168" fontId="6" fillId="23" borderId="12" xfId="11" applyNumberFormat="1" applyFill="1" applyBorder="1"/>
    <xf numFmtId="168" fontId="6" fillId="14" borderId="26" xfId="11" applyNumberFormat="1" applyFill="1" applyBorder="1"/>
    <xf numFmtId="2" fontId="6" fillId="23" borderId="7" xfId="11" applyNumberFormat="1" applyFill="1" applyBorder="1"/>
    <xf numFmtId="1" fontId="6" fillId="23" borderId="7" xfId="11" applyNumberFormat="1" applyFill="1" applyBorder="1"/>
    <xf numFmtId="168" fontId="6" fillId="23" borderId="0" xfId="11" applyNumberFormat="1" applyFill="1"/>
    <xf numFmtId="168" fontId="6" fillId="14" borderId="23" xfId="11" applyNumberFormat="1" applyFill="1" applyBorder="1"/>
    <xf numFmtId="0" fontId="6" fillId="19" borderId="23" xfId="11" applyFill="1" applyBorder="1"/>
    <xf numFmtId="2" fontId="6" fillId="23" borderId="80" xfId="11" applyNumberFormat="1" applyFill="1" applyBorder="1"/>
    <xf numFmtId="168" fontId="6" fillId="23" borderId="11" xfId="11" applyNumberFormat="1" applyFill="1" applyBorder="1"/>
    <xf numFmtId="168" fontId="6" fillId="14" borderId="24" xfId="11" applyNumberFormat="1" applyFill="1" applyBorder="1"/>
    <xf numFmtId="0" fontId="6" fillId="19" borderId="24" xfId="11" applyFill="1" applyBorder="1"/>
    <xf numFmtId="0" fontId="6" fillId="23" borderId="0" xfId="11" applyFill="1" applyAlignment="1">
      <alignment horizontal="right"/>
    </xf>
    <xf numFmtId="0" fontId="6" fillId="14" borderId="0" xfId="11" applyFill="1" applyAlignment="1">
      <alignment horizontal="right"/>
    </xf>
    <xf numFmtId="0" fontId="6" fillId="0" borderId="2" xfId="11" applyBorder="1"/>
    <xf numFmtId="0" fontId="6" fillId="0" borderId="7" xfId="11" applyBorder="1"/>
    <xf numFmtId="2" fontId="6" fillId="23" borderId="0" xfId="11" applyNumberFormat="1" applyFill="1"/>
    <xf numFmtId="2" fontId="6" fillId="6" borderId="12" xfId="11" applyNumberFormat="1" applyFill="1" applyBorder="1" applyAlignment="1">
      <alignment horizontal="right"/>
    </xf>
    <xf numFmtId="168" fontId="6" fillId="23" borderId="23" xfId="11" applyNumberFormat="1" applyFill="1" applyBorder="1"/>
    <xf numFmtId="174" fontId="6" fillId="0" borderId="23" xfId="11" applyNumberFormat="1" applyBorder="1"/>
    <xf numFmtId="168" fontId="95" fillId="0" borderId="24" xfId="11" applyNumberFormat="1" applyFont="1" applyBorder="1"/>
    <xf numFmtId="2" fontId="6" fillId="6" borderId="0" xfId="11" applyNumberFormat="1" applyFill="1" applyAlignment="1">
      <alignment horizontal="right"/>
    </xf>
    <xf numFmtId="168" fontId="6" fillId="23" borderId="26" xfId="11" applyNumberFormat="1" applyFill="1" applyBorder="1"/>
    <xf numFmtId="174" fontId="6" fillId="0" borderId="26" xfId="11" applyNumberFormat="1" applyBorder="1"/>
    <xf numFmtId="174" fontId="6" fillId="0" borderId="26" xfId="12" applyNumberFormat="1" applyFont="1" applyBorder="1"/>
    <xf numFmtId="168" fontId="95" fillId="0" borderId="23" xfId="11" applyNumberFormat="1" applyFont="1" applyBorder="1"/>
    <xf numFmtId="174" fontId="95" fillId="0" borderId="23" xfId="12" applyNumberFormat="1" applyFont="1" applyBorder="1"/>
    <xf numFmtId="0" fontId="6" fillId="19" borderId="1" xfId="11" applyFill="1" applyBorder="1"/>
    <xf numFmtId="2" fontId="6" fillId="6" borderId="11" xfId="11" applyNumberFormat="1" applyFill="1" applyBorder="1" applyAlignment="1">
      <alignment horizontal="right"/>
    </xf>
    <xf numFmtId="168" fontId="6" fillId="23" borderId="24" xfId="11" applyNumberFormat="1" applyFill="1" applyBorder="1"/>
    <xf numFmtId="174" fontId="6" fillId="0" borderId="24" xfId="11" applyNumberFormat="1" applyBorder="1"/>
    <xf numFmtId="164" fontId="97" fillId="0" borderId="12" xfId="0" applyFont="1" applyBorder="1"/>
    <xf numFmtId="164" fontId="97" fillId="0" borderId="0" xfId="0" applyFont="1"/>
    <xf numFmtId="1" fontId="95" fillId="0" borderId="22" xfId="11" applyNumberFormat="1" applyFont="1" applyBorder="1"/>
    <xf numFmtId="0" fontId="6" fillId="6" borderId="23" xfId="11" applyFill="1" applyBorder="1"/>
    <xf numFmtId="0" fontId="95" fillId="0" borderId="12" xfId="11" applyFont="1" applyBorder="1"/>
    <xf numFmtId="9" fontId="95" fillId="0" borderId="12" xfId="10" applyFont="1" applyFill="1" applyBorder="1"/>
    <xf numFmtId="2" fontId="95" fillId="0" borderId="12" xfId="11" applyNumberFormat="1" applyFont="1" applyBorder="1"/>
    <xf numFmtId="1" fontId="95" fillId="0" borderId="13" xfId="11" applyNumberFormat="1" applyFont="1" applyBorder="1"/>
    <xf numFmtId="0" fontId="6" fillId="6" borderId="24" xfId="11" applyFill="1" applyBorder="1"/>
    <xf numFmtId="0" fontId="6" fillId="6" borderId="24" xfId="11" quotePrefix="1" applyFill="1" applyBorder="1"/>
    <xf numFmtId="0" fontId="95" fillId="6" borderId="24" xfId="11" applyFont="1" applyFill="1" applyBorder="1"/>
    <xf numFmtId="9" fontId="95" fillId="0" borderId="11" xfId="10" applyFont="1" applyBorder="1"/>
    <xf numFmtId="164" fontId="20" fillId="6" borderId="14" xfId="1" applyNumberFormat="1" applyFont="1" applyFill="1" applyBorder="1" applyAlignment="1">
      <alignment horizontal="left"/>
    </xf>
    <xf numFmtId="164" fontId="116" fillId="0" borderId="0" xfId="0" applyFont="1"/>
    <xf numFmtId="164" fontId="116" fillId="0" borderId="0" xfId="0" applyFont="1" applyAlignment="1">
      <alignment horizontal="center"/>
    </xf>
    <xf numFmtId="164" fontId="95" fillId="20" borderId="0" xfId="0" applyFont="1" applyFill="1"/>
    <xf numFmtId="164" fontId="108" fillId="0" borderId="0" xfId="3" applyFont="1"/>
    <xf numFmtId="164" fontId="95" fillId="0" borderId="0" xfId="0" quotePrefix="1" applyFont="1"/>
    <xf numFmtId="164" fontId="16" fillId="15" borderId="12" xfId="0" applyFont="1" applyFill="1" applyBorder="1"/>
    <xf numFmtId="164" fontId="16" fillId="15" borderId="0" xfId="0" applyFont="1" applyFill="1"/>
    <xf numFmtId="164" fontId="16" fillId="0" borderId="0" xfId="0" quotePrefix="1" applyFont="1"/>
    <xf numFmtId="164" fontId="16" fillId="6" borderId="10" xfId="0" applyFont="1" applyFill="1" applyBorder="1"/>
    <xf numFmtId="164" fontId="16" fillId="6" borderId="9" xfId="0" applyFont="1" applyFill="1" applyBorder="1"/>
    <xf numFmtId="164" fontId="40" fillId="0" borderId="0" xfId="0" applyFont="1" applyAlignment="1">
      <alignment horizontal="center" vertical="center" wrapText="1"/>
    </xf>
    <xf numFmtId="164" fontId="40" fillId="0" borderId="10" xfId="0" applyFont="1" applyBorder="1" applyAlignment="1">
      <alignment horizontal="center" vertical="center"/>
    </xf>
    <xf numFmtId="164" fontId="40" fillId="0" borderId="9" xfId="0" applyFont="1" applyBorder="1" applyAlignment="1">
      <alignment horizontal="center" vertical="center" wrapText="1"/>
    </xf>
    <xf numFmtId="164" fontId="16" fillId="5" borderId="9" xfId="0" applyFont="1" applyFill="1" applyBorder="1"/>
    <xf numFmtId="164" fontId="40" fillId="0" borderId="9" xfId="0" applyFont="1" applyBorder="1" applyAlignment="1">
      <alignment horizontal="center" vertical="center"/>
    </xf>
    <xf numFmtId="164" fontId="40" fillId="5" borderId="0" xfId="0" applyFont="1" applyFill="1"/>
    <xf numFmtId="164" fontId="40" fillId="5" borderId="9" xfId="0" applyFont="1" applyFill="1" applyBorder="1"/>
    <xf numFmtId="164" fontId="40" fillId="0" borderId="9" xfId="0" applyFont="1" applyBorder="1" applyAlignment="1">
      <alignment horizontal="center" wrapText="1"/>
    </xf>
    <xf numFmtId="164" fontId="35" fillId="5" borderId="0" xfId="0" applyFont="1" applyFill="1" applyAlignment="1">
      <alignment horizontal="center"/>
    </xf>
    <xf numFmtId="164" fontId="16" fillId="5" borderId="0" xfId="0" applyFont="1" applyFill="1" applyAlignment="1">
      <alignment horizontal="left" wrapText="1"/>
    </xf>
    <xf numFmtId="164" fontId="35" fillId="6" borderId="0" xfId="0" applyFont="1" applyFill="1"/>
    <xf numFmtId="164" fontId="16" fillId="0" borderId="0" xfId="0" applyFont="1" applyAlignment="1">
      <alignment vertical="center"/>
    </xf>
    <xf numFmtId="164" fontId="16" fillId="0" borderId="1" xfId="0" applyFont="1" applyBorder="1"/>
    <xf numFmtId="164" fontId="16" fillId="6" borderId="1" xfId="0" applyFont="1" applyFill="1" applyBorder="1"/>
    <xf numFmtId="164" fontId="16" fillId="0" borderId="0" xfId="0" applyFont="1" applyAlignment="1">
      <alignment wrapText="1"/>
    </xf>
    <xf numFmtId="164" fontId="16" fillId="0" borderId="0" xfId="0" applyFont="1" applyAlignment="1">
      <alignment horizontal="left" vertical="center"/>
    </xf>
    <xf numFmtId="164" fontId="16" fillId="0" borderId="0" xfId="0" applyFont="1" applyAlignment="1">
      <alignment horizontal="left" vertical="center" wrapText="1"/>
    </xf>
    <xf numFmtId="164" fontId="16" fillId="0" borderId="0" xfId="0" applyFont="1" applyAlignment="1">
      <alignment vertical="center" wrapText="1"/>
    </xf>
    <xf numFmtId="164" fontId="16" fillId="7" borderId="0" xfId="0" applyFont="1" applyFill="1"/>
    <xf numFmtId="164" fontId="16" fillId="7" borderId="85" xfId="0" applyFont="1" applyFill="1" applyBorder="1" applyProtection="1">
      <protection locked="0"/>
    </xf>
    <xf numFmtId="164" fontId="16" fillId="7" borderId="6" xfId="0" applyFont="1" applyFill="1" applyBorder="1" applyProtection="1">
      <protection locked="0"/>
    </xf>
    <xf numFmtId="164" fontId="128" fillId="0" borderId="0" xfId="0" applyFont="1"/>
    <xf numFmtId="164" fontId="129" fillId="0" borderId="0" xfId="0" applyFont="1"/>
    <xf numFmtId="43" fontId="130" fillId="0" borderId="0" xfId="9" applyFont="1"/>
    <xf numFmtId="2" fontId="40" fillId="0" borderId="0" xfId="0" applyNumberFormat="1" applyFont="1"/>
    <xf numFmtId="164" fontId="35" fillId="0" borderId="0" xfId="0" applyFont="1" applyAlignment="1">
      <alignment horizontal="left"/>
    </xf>
    <xf numFmtId="2" fontId="16" fillId="0" borderId="0" xfId="9" applyNumberFormat="1" applyFont="1" applyBorder="1" applyAlignment="1">
      <alignment horizontal="center"/>
    </xf>
    <xf numFmtId="164" fontId="16" fillId="7" borderId="1" xfId="0" applyFont="1" applyFill="1" applyBorder="1" applyAlignment="1" applyProtection="1">
      <alignment horizontal="center"/>
      <protection locked="0"/>
    </xf>
    <xf numFmtId="164" fontId="35" fillId="6" borderId="1" xfId="0" applyFont="1" applyFill="1" applyBorder="1"/>
    <xf numFmtId="164" fontId="35" fillId="6" borderId="7" xfId="0" applyFont="1" applyFill="1" applyBorder="1"/>
    <xf numFmtId="164" fontId="16" fillId="7" borderId="1" xfId="0" applyFont="1" applyFill="1" applyBorder="1" applyAlignment="1">
      <alignment horizontal="center"/>
    </xf>
    <xf numFmtId="164" fontId="16" fillId="0" borderId="1" xfId="0" applyFont="1" applyBorder="1" applyAlignment="1">
      <alignment horizontal="center" textRotation="90"/>
    </xf>
    <xf numFmtId="164" fontId="16" fillId="0" borderId="1" xfId="0" applyFont="1" applyBorder="1" applyAlignment="1">
      <alignment textRotation="90" wrapText="1"/>
    </xf>
    <xf numFmtId="164" fontId="16" fillId="0" borderId="1" xfId="0" applyFont="1" applyBorder="1" applyAlignment="1">
      <alignment horizontal="center" textRotation="90" wrapText="1"/>
    </xf>
    <xf numFmtId="164" fontId="16" fillId="6" borderId="0" xfId="0" applyFont="1" applyFill="1" applyAlignment="1">
      <alignment horizontal="center"/>
    </xf>
    <xf numFmtId="164" fontId="15" fillId="6" borderId="0" xfId="0" applyFont="1" applyFill="1"/>
    <xf numFmtId="164" fontId="16" fillId="0" borderId="2" xfId="0" applyFont="1" applyBorder="1" applyAlignment="1">
      <alignment horizontal="center" vertical="center"/>
    </xf>
    <xf numFmtId="168" fontId="16" fillId="0" borderId="1" xfId="0" applyNumberFormat="1" applyFont="1" applyBorder="1" applyAlignment="1">
      <alignment horizontal="center" wrapText="1"/>
    </xf>
    <xf numFmtId="164" fontId="16" fillId="6" borderId="1" xfId="0" applyFont="1" applyFill="1" applyBorder="1" applyAlignment="1">
      <alignment horizontal="center"/>
    </xf>
    <xf numFmtId="164" fontId="35" fillId="0" borderId="12" xfId="0" applyFont="1" applyBorder="1" applyAlignment="1">
      <alignment wrapText="1"/>
    </xf>
    <xf numFmtId="164" fontId="16" fillId="0" borderId="0" xfId="0" applyFont="1" applyAlignment="1">
      <alignment horizontal="left"/>
    </xf>
    <xf numFmtId="164" fontId="16" fillId="7" borderId="0" xfId="0" applyFont="1" applyFill="1" applyAlignment="1">
      <alignment horizontal="center"/>
    </xf>
    <xf numFmtId="164" fontId="20" fillId="2" borderId="0" xfId="0" applyFont="1" applyFill="1"/>
    <xf numFmtId="164" fontId="20" fillId="2" borderId="23" xfId="0" applyFont="1" applyFill="1" applyBorder="1"/>
    <xf numFmtId="164" fontId="20" fillId="2" borderId="0" xfId="0" applyFont="1" applyFill="1" applyAlignment="1">
      <alignment vertical="center"/>
    </xf>
    <xf numFmtId="164" fontId="20" fillId="2" borderId="23" xfId="0" applyFont="1" applyFill="1" applyBorder="1" applyAlignment="1">
      <alignment vertical="center"/>
    </xf>
    <xf numFmtId="164" fontId="20" fillId="2" borderId="0" xfId="0" applyFont="1" applyFill="1" applyAlignment="1">
      <alignment horizontal="center"/>
    </xf>
    <xf numFmtId="164" fontId="13" fillId="2" borderId="0" xfId="0" applyFont="1" applyFill="1" applyAlignment="1">
      <alignment horizontal="right" vertical="center"/>
    </xf>
    <xf numFmtId="176" fontId="20" fillId="2" borderId="0" xfId="0" applyNumberFormat="1" applyFont="1" applyFill="1" applyAlignment="1">
      <alignment horizontal="center" vertical="center"/>
    </xf>
    <xf numFmtId="176" fontId="13" fillId="2" borderId="0" xfId="0" applyNumberFormat="1" applyFont="1" applyFill="1" applyAlignment="1">
      <alignment horizontal="right" vertical="center"/>
    </xf>
    <xf numFmtId="164" fontId="20" fillId="2" borderId="0" xfId="0" applyFont="1" applyFill="1" applyAlignment="1">
      <alignment horizontal="center" vertical="center"/>
    </xf>
    <xf numFmtId="164" fontId="13" fillId="2" borderId="0" xfId="0" applyFont="1" applyFill="1" applyAlignment="1">
      <alignment horizontal="left" vertical="center"/>
    </xf>
    <xf numFmtId="164" fontId="13" fillId="2" borderId="23" xfId="0" applyFont="1" applyFill="1" applyBorder="1" applyAlignment="1">
      <alignment horizontal="left" vertical="center"/>
    </xf>
    <xf numFmtId="164" fontId="0" fillId="0" borderId="0" xfId="0" applyProtection="1">
      <protection locked="0"/>
    </xf>
    <xf numFmtId="164" fontId="131" fillId="0" borderId="0" xfId="0" applyFont="1"/>
    <xf numFmtId="164" fontId="13" fillId="2" borderId="0" xfId="0" applyFont="1" applyFill="1" applyAlignment="1">
      <alignment horizontal="center" vertical="center"/>
    </xf>
    <xf numFmtId="164" fontId="13" fillId="2" borderId="23" xfId="0" applyFont="1" applyFill="1" applyBorder="1" applyAlignment="1">
      <alignment horizontal="center" vertical="center"/>
    </xf>
    <xf numFmtId="164" fontId="65" fillId="0" borderId="0" xfId="0" applyFont="1"/>
    <xf numFmtId="164" fontId="16" fillId="9" borderId="2" xfId="0" applyFont="1" applyFill="1" applyBorder="1" applyAlignment="1">
      <alignment horizontal="center"/>
    </xf>
    <xf numFmtId="164" fontId="16" fillId="9" borderId="1" xfId="0" applyFont="1" applyFill="1" applyBorder="1" applyAlignment="1">
      <alignment horizontal="center"/>
    </xf>
    <xf numFmtId="164" fontId="16" fillId="9" borderId="7" xfId="0" applyFont="1" applyFill="1" applyBorder="1" applyAlignment="1">
      <alignment horizontal="center"/>
    </xf>
    <xf numFmtId="164" fontId="30" fillId="0" borderId="0" xfId="0" applyFont="1" applyAlignment="1">
      <alignment horizontal="center"/>
    </xf>
    <xf numFmtId="164" fontId="40" fillId="0" borderId="0" xfId="0" applyFont="1"/>
    <xf numFmtId="164" fontId="40" fillId="0" borderId="0" xfId="0" applyFont="1" applyAlignment="1">
      <alignment horizontal="right"/>
    </xf>
    <xf numFmtId="164" fontId="16" fillId="27" borderId="177" xfId="0" applyFont="1" applyFill="1" applyBorder="1"/>
    <xf numFmtId="164" fontId="40" fillId="27" borderId="178" xfId="0" applyFont="1" applyFill="1" applyBorder="1"/>
    <xf numFmtId="164" fontId="40" fillId="27" borderId="178" xfId="0" applyFont="1" applyFill="1" applyBorder="1" applyAlignment="1">
      <alignment horizontal="centerContinuous"/>
    </xf>
    <xf numFmtId="164" fontId="40" fillId="27" borderId="179" xfId="0" applyFont="1" applyFill="1" applyBorder="1" applyAlignment="1">
      <alignment horizontal="centerContinuous"/>
    </xf>
    <xf numFmtId="164" fontId="16" fillId="27" borderId="178" xfId="0" applyFont="1" applyFill="1" applyBorder="1"/>
    <xf numFmtId="164" fontId="16" fillId="27" borderId="179" xfId="0" applyFont="1" applyFill="1" applyBorder="1"/>
    <xf numFmtId="164" fontId="40" fillId="27" borderId="154" xfId="0" applyFont="1" applyFill="1" applyBorder="1"/>
    <xf numFmtId="164" fontId="16" fillId="0" borderId="180" xfId="0" applyFont="1" applyBorder="1"/>
    <xf numFmtId="164" fontId="40" fillId="0" borderId="181" xfId="0" applyFont="1" applyBorder="1"/>
    <xf numFmtId="164" fontId="40" fillId="0" borderId="181" xfId="0" applyFont="1" applyBorder="1" applyAlignment="1">
      <alignment horizontal="centerContinuous"/>
    </xf>
    <xf numFmtId="164" fontId="16" fillId="0" borderId="182" xfId="0" applyFont="1" applyBorder="1" applyAlignment="1">
      <alignment horizontal="centerContinuous"/>
    </xf>
    <xf numFmtId="164" fontId="16" fillId="0" borderId="181" xfId="0" applyFont="1" applyBorder="1"/>
    <xf numFmtId="164" fontId="16" fillId="0" borderId="182" xfId="0" applyFont="1" applyBorder="1"/>
    <xf numFmtId="164" fontId="130" fillId="0" borderId="152" xfId="0" applyFont="1" applyBorder="1"/>
    <xf numFmtId="164" fontId="16" fillId="27" borderId="180" xfId="0" applyFont="1" applyFill="1" applyBorder="1"/>
    <xf numFmtId="164" fontId="40" fillId="27" borderId="181" xfId="0" applyFont="1" applyFill="1" applyBorder="1"/>
    <xf numFmtId="164" fontId="40" fillId="27" borderId="181" xfId="0" applyFont="1" applyFill="1" applyBorder="1" applyAlignment="1">
      <alignment horizontal="centerContinuous"/>
    </xf>
    <xf numFmtId="164" fontId="16" fillId="27" borderId="182" xfId="0" applyFont="1" applyFill="1" applyBorder="1" applyAlignment="1">
      <alignment horizontal="centerContinuous"/>
    </xf>
    <xf numFmtId="164" fontId="16" fillId="27" borderId="181" xfId="0" applyFont="1" applyFill="1" applyBorder="1"/>
    <xf numFmtId="164" fontId="16" fillId="27" borderId="182" xfId="0" applyFont="1" applyFill="1" applyBorder="1"/>
    <xf numFmtId="164" fontId="130" fillId="27" borderId="152" xfId="0" applyFont="1" applyFill="1" applyBorder="1"/>
    <xf numFmtId="164" fontId="16" fillId="0" borderId="180" xfId="0" applyFont="1" applyBorder="1" applyAlignment="1">
      <alignment horizontal="center"/>
    </xf>
    <xf numFmtId="164" fontId="16" fillId="0" borderId="181" xfId="0" applyFont="1" applyBorder="1" applyAlignment="1">
      <alignment horizontal="center"/>
    </xf>
    <xf numFmtId="164" fontId="16" fillId="0" borderId="182" xfId="0" applyFont="1" applyBorder="1" applyAlignment="1">
      <alignment horizontal="center"/>
    </xf>
    <xf numFmtId="164" fontId="16" fillId="27" borderId="180" xfId="0" applyFont="1" applyFill="1" applyBorder="1" applyAlignment="1">
      <alignment horizontal="center"/>
    </xf>
    <xf numFmtId="164" fontId="16" fillId="27" borderId="181" xfId="0" applyFont="1" applyFill="1" applyBorder="1" applyAlignment="1">
      <alignment horizontal="center"/>
    </xf>
    <xf numFmtId="164" fontId="16" fillId="27" borderId="182" xfId="0" applyFont="1" applyFill="1" applyBorder="1" applyAlignment="1">
      <alignment horizontal="center"/>
    </xf>
    <xf numFmtId="164" fontId="40" fillId="0" borderId="152" xfId="0" applyFont="1" applyBorder="1"/>
    <xf numFmtId="164" fontId="40" fillId="27" borderId="152" xfId="0" applyFont="1" applyFill="1" applyBorder="1"/>
    <xf numFmtId="164" fontId="130" fillId="27" borderId="182" xfId="0" applyFont="1" applyFill="1" applyBorder="1" applyAlignment="1">
      <alignment horizontal="centerContinuous"/>
    </xf>
    <xf numFmtId="164" fontId="16" fillId="27" borderId="152" xfId="0" applyFont="1" applyFill="1" applyBorder="1"/>
    <xf numFmtId="164" fontId="130" fillId="0" borderId="182" xfId="0" applyFont="1" applyBorder="1" applyAlignment="1">
      <alignment horizontal="centerContinuous"/>
    </xf>
    <xf numFmtId="164" fontId="40" fillId="27" borderId="182" xfId="0" applyFont="1" applyFill="1" applyBorder="1" applyAlignment="1">
      <alignment horizontal="centerContinuous"/>
    </xf>
    <xf numFmtId="164" fontId="40" fillId="0" borderId="182" xfId="0" applyFont="1" applyBorder="1" applyAlignment="1">
      <alignment horizontal="centerContinuous"/>
    </xf>
    <xf numFmtId="9" fontId="16" fillId="0" borderId="180" xfId="10" applyFont="1" applyBorder="1" applyAlignment="1">
      <alignment horizontal="center"/>
    </xf>
    <xf numFmtId="9" fontId="40" fillId="0" borderId="181" xfId="10" applyFont="1" applyFill="1" applyBorder="1" applyAlignment="1">
      <alignment horizontal="center"/>
    </xf>
    <xf numFmtId="9" fontId="40" fillId="0" borderId="181" xfId="10" applyFont="1" applyBorder="1" applyAlignment="1">
      <alignment horizontal="centerContinuous"/>
    </xf>
    <xf numFmtId="164" fontId="40" fillId="0" borderId="182" xfId="0" applyFont="1" applyBorder="1" applyAlignment="1">
      <alignment horizontal="center"/>
    </xf>
    <xf numFmtId="9" fontId="16" fillId="27" borderId="180" xfId="10" applyFont="1" applyFill="1" applyBorder="1" applyAlignment="1">
      <alignment horizontal="center"/>
    </xf>
    <xf numFmtId="9" fontId="40" fillId="27" borderId="181" xfId="10" applyFont="1" applyFill="1" applyBorder="1" applyAlignment="1">
      <alignment horizontal="center"/>
    </xf>
    <xf numFmtId="9" fontId="40" fillId="27" borderId="181" xfId="10" applyFont="1" applyFill="1" applyBorder="1" applyAlignment="1">
      <alignment horizontal="centerContinuous"/>
    </xf>
    <xf numFmtId="164" fontId="40" fillId="27" borderId="182" xfId="0" applyFont="1" applyFill="1" applyBorder="1" applyAlignment="1">
      <alignment horizontal="center"/>
    </xf>
    <xf numFmtId="9" fontId="16" fillId="0" borderId="180" xfId="10" applyFont="1" applyBorder="1"/>
    <xf numFmtId="9" fontId="16" fillId="27" borderId="180" xfId="10" applyFont="1" applyFill="1" applyBorder="1"/>
    <xf numFmtId="9" fontId="40" fillId="27" borderId="181" xfId="10" applyFont="1" applyFill="1" applyBorder="1"/>
    <xf numFmtId="9" fontId="40" fillId="27" borderId="183" xfId="10" applyFont="1" applyFill="1" applyBorder="1" applyAlignment="1">
      <alignment horizontal="centerContinuous"/>
    </xf>
    <xf numFmtId="9" fontId="40" fillId="0" borderId="181" xfId="10" applyFont="1" applyFill="1" applyBorder="1"/>
    <xf numFmtId="9" fontId="40" fillId="0" borderId="184" xfId="10" applyFont="1" applyFill="1" applyBorder="1" applyAlignment="1">
      <alignment horizontal="centerContinuous"/>
    </xf>
    <xf numFmtId="9" fontId="40" fillId="27" borderId="184" xfId="10" applyFont="1" applyFill="1" applyBorder="1" applyAlignment="1">
      <alignment horizontal="centerContinuous"/>
    </xf>
    <xf numFmtId="9" fontId="16" fillId="27" borderId="185" xfId="10" applyFont="1" applyFill="1" applyBorder="1"/>
    <xf numFmtId="9" fontId="40" fillId="27" borderId="186" xfId="10" applyFont="1" applyFill="1" applyBorder="1"/>
    <xf numFmtId="9" fontId="40" fillId="27" borderId="187" xfId="10" applyFont="1" applyFill="1" applyBorder="1" applyAlignment="1">
      <alignment horizontal="centerContinuous"/>
    </xf>
    <xf numFmtId="164" fontId="40" fillId="27" borderId="188" xfId="0" applyFont="1" applyFill="1" applyBorder="1" applyAlignment="1">
      <alignment horizontal="centerContinuous"/>
    </xf>
    <xf numFmtId="164" fontId="16" fillId="27" borderId="189" xfId="0" applyFont="1" applyFill="1" applyBorder="1" applyAlignment="1">
      <alignment horizontal="center"/>
    </xf>
    <xf numFmtId="164" fontId="16" fillId="27" borderId="190" xfId="0" applyFont="1" applyFill="1" applyBorder="1" applyAlignment="1">
      <alignment horizontal="center"/>
    </xf>
    <xf numFmtId="164" fontId="16" fillId="27" borderId="188" xfId="0" applyFont="1" applyFill="1" applyBorder="1" applyAlignment="1">
      <alignment horizontal="center"/>
    </xf>
    <xf numFmtId="164" fontId="16" fillId="27" borderId="167" xfId="0" applyFont="1" applyFill="1" applyBorder="1"/>
    <xf numFmtId="164" fontId="35" fillId="0" borderId="191" xfId="0" applyFont="1" applyBorder="1" applyAlignment="1">
      <alignment horizontal="center"/>
    </xf>
    <xf numFmtId="164" fontId="35" fillId="0" borderId="192" xfId="0" applyFont="1" applyBorder="1" applyAlignment="1">
      <alignment horizontal="center"/>
    </xf>
    <xf numFmtId="164" fontId="132" fillId="0" borderId="193" xfId="0" applyFont="1" applyBorder="1" applyAlignment="1">
      <alignment horizontal="centerContinuous" wrapText="1"/>
    </xf>
    <xf numFmtId="164" fontId="130" fillId="0" borderId="194" xfId="0" applyFont="1" applyBorder="1" applyAlignment="1">
      <alignment horizontal="center" wrapText="1"/>
    </xf>
    <xf numFmtId="164" fontId="40" fillId="0" borderId="191" xfId="0" applyFont="1" applyBorder="1" applyAlignment="1">
      <alignment horizontal="center"/>
    </xf>
    <xf numFmtId="164" fontId="40" fillId="0" borderId="192" xfId="0" applyFont="1" applyBorder="1" applyAlignment="1">
      <alignment horizontal="center"/>
    </xf>
    <xf numFmtId="164" fontId="40" fillId="0" borderId="195" xfId="0" applyFont="1" applyBorder="1" applyAlignment="1">
      <alignment horizontal="center"/>
    </xf>
    <xf numFmtId="164" fontId="130" fillId="0" borderId="196" xfId="0" applyFont="1" applyBorder="1"/>
    <xf numFmtId="164" fontId="65" fillId="28" borderId="96" xfId="0" applyFont="1" applyFill="1" applyBorder="1" applyAlignment="1">
      <alignment horizontal="center"/>
    </xf>
    <xf numFmtId="164" fontId="65" fillId="29" borderId="88" xfId="0" applyFont="1" applyFill="1" applyBorder="1" applyAlignment="1">
      <alignment horizontal="center"/>
    </xf>
    <xf numFmtId="164" fontId="35" fillId="31" borderId="198" xfId="0" applyFont="1" applyFill="1" applyBorder="1"/>
    <xf numFmtId="164" fontId="16" fillId="0" borderId="178" xfId="0" applyFont="1" applyBorder="1" applyAlignment="1">
      <alignment horizontal="center"/>
    </xf>
    <xf numFmtId="1" fontId="16" fillId="0" borderId="179" xfId="0" applyNumberFormat="1" applyFont="1" applyBorder="1" applyAlignment="1">
      <alignment horizontal="center"/>
    </xf>
    <xf numFmtId="164" fontId="16" fillId="0" borderId="154" xfId="0" applyFont="1" applyBorder="1"/>
    <xf numFmtId="1" fontId="16" fillId="27" borderId="182" xfId="0" applyNumberFormat="1" applyFont="1" applyFill="1" applyBorder="1" applyAlignment="1">
      <alignment horizontal="center"/>
    </xf>
    <xf numFmtId="1" fontId="16" fillId="0" borderId="182" xfId="0" applyNumberFormat="1" applyFont="1" applyBorder="1" applyAlignment="1">
      <alignment horizontal="center"/>
    </xf>
    <xf numFmtId="164" fontId="16" fillId="0" borderId="152" xfId="0" applyFont="1" applyBorder="1"/>
    <xf numFmtId="9" fontId="16" fillId="0" borderId="181" xfId="10" applyFont="1" applyFill="1" applyBorder="1" applyAlignment="1">
      <alignment horizontal="center"/>
    </xf>
    <xf numFmtId="9" fontId="16" fillId="27" borderId="181" xfId="10" applyFont="1" applyFill="1" applyBorder="1" applyAlignment="1">
      <alignment horizontal="center"/>
    </xf>
    <xf numFmtId="9" fontId="136" fillId="0" borderId="181" xfId="10" applyFont="1" applyFill="1" applyBorder="1" applyAlignment="1">
      <alignment horizontal="center"/>
    </xf>
    <xf numFmtId="1" fontId="136" fillId="0" borderId="182" xfId="0" applyNumberFormat="1" applyFont="1" applyBorder="1" applyAlignment="1">
      <alignment horizontal="center"/>
    </xf>
    <xf numFmtId="164" fontId="136" fillId="0" borderId="152" xfId="0" applyFont="1" applyBorder="1"/>
    <xf numFmtId="9" fontId="136" fillId="27" borderId="181" xfId="10" applyFont="1" applyFill="1" applyBorder="1" applyAlignment="1">
      <alignment horizontal="center"/>
    </xf>
    <xf numFmtId="1" fontId="136" fillId="27" borderId="182" xfId="0" applyNumberFormat="1" applyFont="1" applyFill="1" applyBorder="1" applyAlignment="1">
      <alignment horizontal="center"/>
    </xf>
    <xf numFmtId="164" fontId="136" fillId="27" borderId="152" xfId="0" applyFont="1" applyFill="1" applyBorder="1"/>
    <xf numFmtId="9" fontId="137" fillId="0" borderId="212" xfId="0" applyNumberFormat="1" applyFont="1" applyBorder="1" applyAlignment="1">
      <alignment horizontal="center"/>
    </xf>
    <xf numFmtId="1" fontId="136" fillId="0" borderId="213" xfId="0" applyNumberFormat="1" applyFont="1" applyBorder="1" applyAlignment="1">
      <alignment horizontal="center"/>
    </xf>
    <xf numFmtId="164" fontId="136" fillId="0" borderId="218" xfId="0" applyFont="1" applyBorder="1"/>
    <xf numFmtId="164" fontId="35" fillId="33" borderId="80" xfId="0" applyFont="1" applyFill="1" applyBorder="1" applyAlignment="1">
      <alignment horizontal="center"/>
    </xf>
    <xf numFmtId="164" fontId="35" fillId="33" borderId="0" xfId="0" applyFont="1" applyFill="1" applyAlignment="1">
      <alignment horizontal="center"/>
    </xf>
    <xf numFmtId="164" fontId="35" fillId="31" borderId="224" xfId="0" applyFont="1" applyFill="1" applyBorder="1"/>
    <xf numFmtId="164" fontId="132" fillId="31" borderId="226" xfId="0" applyFont="1" applyFill="1" applyBorder="1" applyAlignment="1">
      <alignment horizontal="center" vertical="center" wrapText="1"/>
    </xf>
    <xf numFmtId="164" fontId="35" fillId="31" borderId="224" xfId="0" applyFont="1" applyFill="1" applyBorder="1" applyAlignment="1">
      <alignment horizontal="center"/>
    </xf>
    <xf numFmtId="164" fontId="16" fillId="31" borderId="34" xfId="0" applyFont="1" applyFill="1" applyBorder="1"/>
    <xf numFmtId="9" fontId="139" fillId="27" borderId="186" xfId="10" applyFont="1" applyFill="1" applyBorder="1" applyAlignment="1">
      <alignment horizontal="center"/>
    </xf>
    <xf numFmtId="164" fontId="139" fillId="27" borderId="229" xfId="0" applyFont="1" applyFill="1" applyBorder="1" applyAlignment="1">
      <alignment horizontal="center"/>
    </xf>
    <xf numFmtId="9" fontId="139" fillId="0" borderId="186" xfId="10" applyFont="1" applyFill="1" applyBorder="1" applyAlignment="1">
      <alignment horizontal="center"/>
    </xf>
    <xf numFmtId="164" fontId="139" fillId="0" borderId="229" xfId="0" applyFont="1" applyBorder="1" applyAlignment="1">
      <alignment horizontal="center"/>
    </xf>
    <xf numFmtId="164" fontId="40" fillId="27" borderId="167" xfId="0" applyFont="1" applyFill="1" applyBorder="1"/>
    <xf numFmtId="164" fontId="35" fillId="31" borderId="193" xfId="0" applyFont="1" applyFill="1" applyBorder="1" applyAlignment="1">
      <alignment horizontal="center"/>
    </xf>
    <xf numFmtId="164" fontId="35" fillId="31" borderId="194" xfId="0" applyFont="1" applyFill="1" applyBorder="1" applyAlignment="1">
      <alignment horizontal="center"/>
    </xf>
    <xf numFmtId="164" fontId="35" fillId="31" borderId="232" xfId="0" applyFont="1" applyFill="1" applyBorder="1"/>
    <xf numFmtId="164" fontId="40" fillId="0" borderId="200" xfId="0" applyFont="1" applyBorder="1" applyAlignment="1">
      <alignment vertical="top"/>
    </xf>
    <xf numFmtId="164" fontId="40" fillId="0" borderId="201" xfId="0" applyFont="1" applyBorder="1" applyAlignment="1">
      <alignment vertical="top"/>
    </xf>
    <xf numFmtId="164" fontId="16" fillId="0" borderId="200" xfId="0" applyFont="1" applyBorder="1"/>
    <xf numFmtId="164" fontId="16" fillId="0" borderId="200" xfId="0" applyFont="1" applyBorder="1" applyAlignment="1">
      <alignment horizontal="left"/>
    </xf>
    <xf numFmtId="164" fontId="16" fillId="0" borderId="203" xfId="0" applyFont="1" applyBorder="1"/>
    <xf numFmtId="164" fontId="16" fillId="0" borderId="235" xfId="0" applyFont="1" applyBorder="1" applyAlignment="1">
      <alignment horizontal="left"/>
    </xf>
    <xf numFmtId="168" fontId="140" fillId="27" borderId="246" xfId="0" applyNumberFormat="1" applyFont="1" applyFill="1" applyBorder="1"/>
    <xf numFmtId="168" fontId="140" fillId="27" borderId="247" xfId="0" applyNumberFormat="1" applyFont="1" applyFill="1" applyBorder="1"/>
    <xf numFmtId="168" fontId="140" fillId="27" borderId="248" xfId="0" applyNumberFormat="1" applyFont="1" applyFill="1" applyBorder="1"/>
    <xf numFmtId="164" fontId="140" fillId="27" borderId="248" xfId="0" applyFont="1" applyFill="1" applyBorder="1"/>
    <xf numFmtId="164" fontId="140" fillId="0" borderId="167" xfId="0" applyFont="1" applyBorder="1"/>
    <xf numFmtId="164" fontId="140" fillId="27" borderId="152" xfId="0" applyFont="1" applyFill="1" applyBorder="1"/>
    <xf numFmtId="164" fontId="140" fillId="0" borderId="152" xfId="0" applyFont="1" applyBorder="1"/>
    <xf numFmtId="164" fontId="140" fillId="27" borderId="167" xfId="0" applyFont="1" applyFill="1" applyBorder="1"/>
    <xf numFmtId="164" fontId="35" fillId="31" borderId="232" xfId="0" applyFont="1" applyFill="1" applyBorder="1" applyAlignment="1">
      <alignment wrapText="1"/>
    </xf>
    <xf numFmtId="164" fontId="16" fillId="33" borderId="232" xfId="0" applyFont="1" applyFill="1" applyBorder="1"/>
    <xf numFmtId="164" fontId="136" fillId="27" borderId="181" xfId="0" applyFont="1" applyFill="1" applyBorder="1" applyAlignment="1">
      <alignment horizontal="center"/>
    </xf>
    <xf numFmtId="164" fontId="136" fillId="0" borderId="181" xfId="0" applyFont="1" applyBorder="1" applyAlignment="1">
      <alignment horizontal="center"/>
    </xf>
    <xf numFmtId="9" fontId="140" fillId="0" borderId="181" xfId="10" applyFont="1" applyFill="1" applyBorder="1" applyAlignment="1">
      <alignment horizontal="center"/>
    </xf>
    <xf numFmtId="1" fontId="140" fillId="0" borderId="182" xfId="0" applyNumberFormat="1" applyFont="1" applyBorder="1" applyAlignment="1">
      <alignment horizontal="center"/>
    </xf>
    <xf numFmtId="1" fontId="140" fillId="27" borderId="182" xfId="0" applyNumberFormat="1" applyFont="1" applyFill="1" applyBorder="1" applyAlignment="1">
      <alignment horizontal="center"/>
    </xf>
    <xf numFmtId="1" fontId="140" fillId="0" borderId="213" xfId="0" applyNumberFormat="1" applyFont="1" applyBorder="1" applyAlignment="1">
      <alignment horizontal="center"/>
    </xf>
    <xf numFmtId="164" fontId="140" fillId="0" borderId="218" xfId="0" applyFont="1" applyBorder="1"/>
    <xf numFmtId="164" fontId="143" fillId="31" borderId="34" xfId="0" applyFont="1" applyFill="1" applyBorder="1" applyAlignment="1">
      <alignment wrapText="1"/>
    </xf>
    <xf numFmtId="9" fontId="136" fillId="27" borderId="186" xfId="10" applyFont="1" applyFill="1" applyBorder="1" applyAlignment="1">
      <alignment horizontal="center"/>
    </xf>
    <xf numFmtId="164" fontId="136" fillId="27" borderId="229" xfId="0" applyFont="1" applyFill="1" applyBorder="1" applyAlignment="1">
      <alignment horizontal="center"/>
    </xf>
    <xf numFmtId="9" fontId="136" fillId="0" borderId="186" xfId="10" applyFont="1" applyFill="1" applyBorder="1" applyAlignment="1">
      <alignment horizontal="center"/>
    </xf>
    <xf numFmtId="164" fontId="136" fillId="0" borderId="229" xfId="0" applyFont="1" applyBorder="1" applyAlignment="1">
      <alignment horizontal="center"/>
    </xf>
    <xf numFmtId="9" fontId="140" fillId="27" borderId="186" xfId="10" applyFont="1" applyFill="1" applyBorder="1" applyAlignment="1">
      <alignment horizontal="center"/>
    </xf>
    <xf numFmtId="164" fontId="140" fillId="27" borderId="229" xfId="0" applyFont="1" applyFill="1" applyBorder="1" applyAlignment="1">
      <alignment horizontal="center"/>
    </xf>
    <xf numFmtId="9" fontId="140" fillId="0" borderId="186" xfId="10" applyFont="1" applyFill="1" applyBorder="1" applyAlignment="1">
      <alignment horizontal="center"/>
    </xf>
    <xf numFmtId="164" fontId="140" fillId="0" borderId="229" xfId="0" applyFont="1" applyBorder="1" applyAlignment="1">
      <alignment horizontal="center"/>
    </xf>
    <xf numFmtId="164" fontId="143" fillId="27" borderId="152" xfId="0" applyFont="1" applyFill="1" applyBorder="1"/>
    <xf numFmtId="164" fontId="40" fillId="0" borderId="200" xfId="0" applyFont="1" applyBorder="1" applyAlignment="1">
      <alignment vertical="top" wrapText="1"/>
    </xf>
    <xf numFmtId="164" fontId="40" fillId="0" borderId="201" xfId="0" applyFont="1" applyBorder="1" applyAlignment="1">
      <alignment vertical="top" wrapText="1"/>
    </xf>
    <xf numFmtId="164" fontId="65" fillId="0" borderId="203" xfId="0" applyFont="1" applyBorder="1" applyAlignment="1">
      <alignment horizontal="right" vertical="center" wrapText="1"/>
    </xf>
    <xf numFmtId="164" fontId="136" fillId="0" borderId="0" xfId="0" applyFont="1"/>
    <xf numFmtId="9" fontId="140" fillId="27" borderId="181" xfId="0" applyNumberFormat="1" applyFont="1" applyFill="1" applyBorder="1" applyAlignment="1">
      <alignment vertical="center"/>
    </xf>
    <xf numFmtId="9" fontId="140" fillId="0" borderId="212" xfId="0" applyNumberFormat="1" applyFont="1" applyBorder="1" applyAlignment="1">
      <alignment vertical="center"/>
    </xf>
    <xf numFmtId="164" fontId="16" fillId="29" borderId="1" xfId="0" applyFont="1" applyFill="1" applyBorder="1" applyAlignment="1" applyProtection="1">
      <alignment vertical="center" wrapText="1"/>
      <protection locked="0"/>
    </xf>
    <xf numFmtId="14" fontId="136" fillId="29" borderId="1" xfId="0" applyNumberFormat="1" applyFont="1" applyFill="1" applyBorder="1" applyAlignment="1" applyProtection="1">
      <alignment vertical="center" wrapText="1"/>
      <protection locked="0"/>
    </xf>
    <xf numFmtId="164" fontId="136" fillId="29" borderId="1" xfId="0" applyFont="1" applyFill="1" applyBorder="1" applyAlignment="1" applyProtection="1">
      <alignment vertical="center" wrapText="1"/>
      <protection locked="0"/>
    </xf>
    <xf numFmtId="164" fontId="16" fillId="31" borderId="1" xfId="0" applyFont="1" applyFill="1" applyBorder="1" applyAlignment="1" applyProtection="1">
      <alignment vertical="center" wrapText="1"/>
      <protection locked="0"/>
    </xf>
    <xf numFmtId="49" fontId="16" fillId="31" borderId="1" xfId="0" applyNumberFormat="1" applyFont="1" applyFill="1" applyBorder="1" applyAlignment="1" applyProtection="1">
      <alignment vertical="center" wrapText="1"/>
      <protection locked="0"/>
    </xf>
    <xf numFmtId="2" fontId="16" fillId="31" borderId="1" xfId="0" applyNumberFormat="1" applyFont="1" applyFill="1" applyBorder="1" applyAlignment="1" applyProtection="1">
      <alignment horizontal="center" vertical="center" wrapText="1"/>
      <protection locked="0"/>
    </xf>
    <xf numFmtId="164" fontId="16" fillId="31" borderId="1" xfId="0" applyFont="1" applyFill="1" applyBorder="1" applyAlignment="1" applyProtection="1">
      <alignment horizontal="left" vertical="center" wrapText="1"/>
      <protection locked="0"/>
    </xf>
    <xf numFmtId="164" fontId="136" fillId="31" borderId="2" xfId="0" applyFont="1" applyFill="1" applyBorder="1" applyAlignment="1" applyProtection="1">
      <alignment horizontal="center" vertical="center" wrapText="1"/>
      <protection locked="0"/>
    </xf>
    <xf numFmtId="49" fontId="136" fillId="31" borderId="2" xfId="0" applyNumberFormat="1" applyFont="1" applyFill="1" applyBorder="1" applyAlignment="1" applyProtection="1">
      <alignment horizontal="center" vertical="center" wrapText="1"/>
      <protection locked="0"/>
    </xf>
    <xf numFmtId="164" fontId="136" fillId="31" borderId="2" xfId="0" applyFont="1" applyFill="1" applyBorder="1" applyAlignment="1" applyProtection="1">
      <alignment vertical="center" wrapText="1"/>
      <protection locked="0"/>
    </xf>
    <xf numFmtId="2" fontId="136" fillId="31" borderId="2" xfId="0" applyNumberFormat="1" applyFont="1" applyFill="1" applyBorder="1" applyAlignment="1" applyProtection="1">
      <alignment horizontal="center" vertical="center" wrapText="1"/>
      <protection locked="0"/>
    </xf>
    <xf numFmtId="164" fontId="136" fillId="31" borderId="2" xfId="0" applyFont="1" applyFill="1" applyBorder="1" applyAlignment="1" applyProtection="1">
      <alignment horizontal="left" vertical="center" wrapText="1"/>
      <protection locked="0"/>
    </xf>
    <xf numFmtId="164" fontId="16" fillId="31" borderId="264" xfId="0" applyFont="1" applyFill="1" applyBorder="1" applyAlignment="1" applyProtection="1">
      <alignment horizontal="center" vertical="center"/>
      <protection locked="0"/>
    </xf>
    <xf numFmtId="164" fontId="144" fillId="31" borderId="264" xfId="0" applyFont="1" applyFill="1" applyBorder="1" applyAlignment="1" applyProtection="1">
      <alignment horizontal="center" vertical="center"/>
      <protection locked="0"/>
    </xf>
    <xf numFmtId="164" fontId="65" fillId="0" borderId="7" xfId="0" applyFont="1" applyBorder="1" applyAlignment="1">
      <alignment horizontal="center" vertical="center" wrapText="1"/>
    </xf>
    <xf numFmtId="164" fontId="145" fillId="31" borderId="7" xfId="0" applyFont="1" applyFill="1" applyBorder="1" applyAlignment="1">
      <alignment horizontal="center" vertical="center" wrapText="1"/>
    </xf>
    <xf numFmtId="164" fontId="16" fillId="0" borderId="7" xfId="0" applyFont="1" applyBorder="1" applyAlignment="1">
      <alignment horizontal="center" wrapText="1"/>
    </xf>
    <xf numFmtId="164" fontId="16" fillId="0" borderId="0" xfId="0" applyFont="1" applyAlignment="1">
      <alignment horizontal="right"/>
    </xf>
    <xf numFmtId="164" fontId="16" fillId="0" borderId="0" xfId="0" applyFont="1" applyAlignment="1">
      <alignment vertical="top"/>
    </xf>
    <xf numFmtId="164" fontId="22" fillId="0" borderId="0" xfId="0" applyFont="1" applyAlignment="1">
      <alignment vertical="top" wrapText="1"/>
    </xf>
    <xf numFmtId="164" fontId="16" fillId="0" borderId="0" xfId="0" applyFont="1" applyAlignment="1" applyProtection="1">
      <alignment vertical="center" wrapText="1"/>
      <protection locked="0"/>
    </xf>
    <xf numFmtId="14" fontId="136" fillId="0" borderId="0" xfId="0" applyNumberFormat="1" applyFont="1" applyAlignment="1" applyProtection="1">
      <alignment vertical="center" wrapText="1"/>
      <protection locked="0"/>
    </xf>
    <xf numFmtId="164" fontId="16" fillId="0" borderId="0" xfId="0" applyFont="1" applyAlignment="1">
      <alignment horizontal="right" vertical="center" wrapText="1"/>
    </xf>
    <xf numFmtId="164" fontId="16" fillId="0" borderId="0" xfId="0" applyFont="1" applyAlignment="1" applyProtection="1">
      <alignment horizontal="left" vertical="top" wrapText="1"/>
      <protection locked="0"/>
    </xf>
    <xf numFmtId="164" fontId="16" fillId="5" borderId="0" xfId="0" applyFont="1" applyFill="1"/>
    <xf numFmtId="164" fontId="35" fillId="5" borderId="0" xfId="0" applyFont="1" applyFill="1"/>
    <xf numFmtId="164" fontId="40" fillId="0" borderId="0" xfId="0" applyFont="1" applyAlignment="1">
      <alignment horizontal="center"/>
    </xf>
    <xf numFmtId="164" fontId="14" fillId="0" borderId="0" xfId="0" applyFont="1" applyAlignment="1">
      <alignment horizontal="center"/>
    </xf>
    <xf numFmtId="164" fontId="35" fillId="0" borderId="1" xfId="0" applyFont="1" applyBorder="1" applyAlignment="1">
      <alignment horizontal="center" vertical="center"/>
    </xf>
    <xf numFmtId="164" fontId="35" fillId="0" borderId="1" xfId="0" applyFont="1" applyBorder="1" applyAlignment="1">
      <alignment horizontal="center" vertical="center" wrapText="1"/>
    </xf>
    <xf numFmtId="164" fontId="135" fillId="0" borderId="0" xfId="0" applyFont="1"/>
    <xf numFmtId="164" fontId="16" fillId="0" borderId="0" xfId="0" applyFont="1" applyAlignment="1">
      <alignment vertical="top" wrapText="1"/>
    </xf>
    <xf numFmtId="164" fontId="16" fillId="31" borderId="88" xfId="0" applyFont="1" applyFill="1" applyBorder="1" applyAlignment="1" applyProtection="1">
      <alignment horizontal="center" vertical="center"/>
      <protection locked="0"/>
    </xf>
    <xf numFmtId="164" fontId="16" fillId="31" borderId="7" xfId="0" applyFont="1" applyFill="1" applyBorder="1" applyAlignment="1" applyProtection="1">
      <alignment horizontal="center" vertical="center"/>
      <protection locked="0"/>
    </xf>
    <xf numFmtId="164" fontId="16" fillId="31" borderId="45" xfId="0" applyFont="1" applyFill="1" applyBorder="1" applyAlignment="1" applyProtection="1">
      <alignment horizontal="center" vertical="center"/>
      <protection locked="0"/>
    </xf>
    <xf numFmtId="164" fontId="16" fillId="31" borderId="45" xfId="0" applyFont="1" applyFill="1" applyBorder="1" applyAlignment="1" applyProtection="1">
      <alignment horizontal="left" vertical="center"/>
      <protection locked="0"/>
    </xf>
    <xf numFmtId="164" fontId="16" fillId="31" borderId="1" xfId="0" applyFont="1" applyFill="1" applyBorder="1" applyAlignment="1" applyProtection="1">
      <alignment horizontal="center" vertical="center"/>
      <protection locked="0"/>
    </xf>
    <xf numFmtId="164" fontId="16" fillId="31" borderId="1" xfId="0" applyFont="1" applyFill="1" applyBorder="1" applyAlignment="1" applyProtection="1">
      <alignment horizontal="left" vertical="center"/>
      <protection locked="0"/>
    </xf>
    <xf numFmtId="164" fontId="16" fillId="31" borderId="2" xfId="0" applyFont="1" applyFill="1" applyBorder="1" applyAlignment="1" applyProtection="1">
      <alignment horizontal="center" vertical="center"/>
      <protection locked="0"/>
    </xf>
    <xf numFmtId="164" fontId="16" fillId="31" borderId="2" xfId="0" applyFont="1" applyFill="1" applyBorder="1" applyAlignment="1" applyProtection="1">
      <alignment horizontal="left" vertical="center"/>
      <protection locked="0"/>
    </xf>
    <xf numFmtId="164" fontId="16" fillId="0" borderId="0" xfId="0" applyFont="1" applyAlignment="1">
      <alignment horizontal="center" vertical="center" wrapText="1"/>
    </xf>
    <xf numFmtId="164" fontId="16" fillId="34" borderId="1" xfId="0" applyFont="1" applyFill="1" applyBorder="1"/>
    <xf numFmtId="164" fontId="16" fillId="34" borderId="1" xfId="0" applyFont="1" applyFill="1" applyBorder="1" applyAlignment="1">
      <alignment horizontal="center" vertical="center"/>
    </xf>
    <xf numFmtId="164" fontId="16" fillId="0" borderId="1" xfId="0" applyFont="1" applyBorder="1" applyAlignment="1">
      <alignment horizontal="center" vertical="center"/>
    </xf>
    <xf numFmtId="164" fontId="16" fillId="28" borderId="1" xfId="0" applyFont="1" applyFill="1" applyBorder="1" applyAlignment="1">
      <alignment horizontal="center" vertical="center"/>
    </xf>
    <xf numFmtId="164" fontId="22" fillId="0" borderId="11" xfId="0" applyFont="1" applyBorder="1" applyAlignment="1">
      <alignment horizontal="center"/>
    </xf>
    <xf numFmtId="164" fontId="22" fillId="0" borderId="11" xfId="0" applyFont="1" applyBorder="1" applyAlignment="1">
      <alignment horizontal="left"/>
    </xf>
    <xf numFmtId="164" fontId="22" fillId="0" borderId="0" xfId="0" applyFont="1" applyAlignment="1">
      <alignment horizontal="center"/>
    </xf>
    <xf numFmtId="164" fontId="16" fillId="0" borderId="1" xfId="0" applyFont="1" applyBorder="1" applyAlignment="1" applyProtection="1">
      <alignment horizontal="center" vertical="center"/>
      <protection locked="0"/>
    </xf>
    <xf numFmtId="164" fontId="16" fillId="34" borderId="1" xfId="0" applyFont="1" applyFill="1" applyBorder="1" applyAlignment="1" applyProtection="1">
      <alignment horizontal="center" vertical="center"/>
      <protection locked="0"/>
    </xf>
    <xf numFmtId="164" fontId="16" fillId="0" borderId="80" xfId="0" applyFont="1" applyBorder="1" applyAlignment="1" applyProtection="1">
      <alignment horizontal="center" vertical="center"/>
      <protection locked="0"/>
    </xf>
    <xf numFmtId="164" fontId="16" fillId="0" borderId="1" xfId="0" applyFont="1" applyBorder="1" applyAlignment="1" applyProtection="1">
      <alignment horizontal="left" vertical="center"/>
      <protection locked="0"/>
    </xf>
    <xf numFmtId="164" fontId="16" fillId="35" borderId="7" xfId="0" applyFont="1" applyFill="1" applyBorder="1" applyAlignment="1" applyProtection="1">
      <alignment horizontal="center" vertical="center"/>
      <protection locked="0"/>
    </xf>
    <xf numFmtId="164" fontId="16" fillId="0" borderId="0" xfId="0" applyFont="1" applyAlignment="1" applyProtection="1">
      <alignment horizontal="center" vertical="center"/>
      <protection locked="0"/>
    </xf>
    <xf numFmtId="164" fontId="40" fillId="0" borderId="7" xfId="0" applyFont="1" applyBorder="1" applyAlignment="1">
      <alignment horizontal="left" vertical="center"/>
    </xf>
    <xf numFmtId="164" fontId="16" fillId="36" borderId="1" xfId="0" applyFont="1" applyFill="1" applyBorder="1" applyAlignment="1" applyProtection="1">
      <alignment horizontal="center" vertical="center"/>
      <protection locked="0"/>
    </xf>
    <xf numFmtId="164" fontId="16" fillId="28" borderId="1" xfId="0" applyFont="1" applyFill="1" applyBorder="1" applyAlignment="1" applyProtection="1">
      <alignment horizontal="center" vertical="center"/>
      <protection locked="0"/>
    </xf>
    <xf numFmtId="164" fontId="16" fillId="35" borderId="1" xfId="0" applyFont="1" applyFill="1" applyBorder="1" applyAlignment="1" applyProtection="1">
      <alignment horizontal="center" vertical="center"/>
      <protection locked="0"/>
    </xf>
    <xf numFmtId="164" fontId="40" fillId="0" borderId="1" xfId="0" applyFont="1" applyBorder="1" applyAlignment="1">
      <alignment horizontal="left" vertical="center"/>
    </xf>
    <xf numFmtId="164" fontId="16" fillId="37" borderId="1" xfId="0" applyFont="1" applyFill="1" applyBorder="1" applyAlignment="1" applyProtection="1">
      <alignment horizontal="center" vertical="center"/>
      <protection locked="0"/>
    </xf>
    <xf numFmtId="164" fontId="16" fillId="35" borderId="1" xfId="0" applyFont="1" applyFill="1" applyBorder="1" applyAlignment="1" applyProtection="1">
      <alignment vertical="center"/>
      <protection locked="0"/>
    </xf>
    <xf numFmtId="164" fontId="16" fillId="0" borderId="0" xfId="0" applyFont="1" applyAlignment="1" applyProtection="1">
      <alignment vertical="center"/>
      <protection locked="0"/>
    </xf>
    <xf numFmtId="164" fontId="40" fillId="0" borderId="1" xfId="0" applyFont="1" applyBorder="1" applyAlignment="1">
      <alignment vertical="center"/>
    </xf>
    <xf numFmtId="164" fontId="40" fillId="0" borderId="1" xfId="0" applyFont="1" applyBorder="1" applyAlignment="1">
      <alignment horizontal="center" vertical="center" wrapText="1"/>
    </xf>
    <xf numFmtId="164" fontId="40" fillId="0" borderId="1" xfId="0" applyFont="1" applyBorder="1" applyAlignment="1">
      <alignment horizontal="center" vertical="center"/>
    </xf>
    <xf numFmtId="164" fontId="16" fillId="0" borderId="0" xfId="0" applyFont="1" applyAlignment="1">
      <alignment horizontal="right" wrapText="1"/>
    </xf>
    <xf numFmtId="1" fontId="20" fillId="4" borderId="1" xfId="0" applyNumberFormat="1" applyFont="1" applyFill="1" applyBorder="1"/>
    <xf numFmtId="1" fontId="20" fillId="0" borderId="1" xfId="0" applyNumberFormat="1" applyFont="1" applyBorder="1"/>
    <xf numFmtId="1" fontId="20" fillId="6" borderId="1" xfId="0" applyNumberFormat="1" applyFont="1" applyFill="1" applyBorder="1"/>
    <xf numFmtId="164" fontId="16" fillId="19" borderId="0" xfId="0" applyFont="1" applyFill="1" applyAlignment="1">
      <alignment vertical="center"/>
    </xf>
    <xf numFmtId="168" fontId="148" fillId="0" borderId="0" xfId="11" applyNumberFormat="1" applyFont="1"/>
    <xf numFmtId="0" fontId="148" fillId="0" borderId="0" xfId="11" applyFont="1"/>
    <xf numFmtId="0" fontId="5" fillId="0" borderId="24" xfId="11" applyFont="1" applyBorder="1"/>
    <xf numFmtId="168" fontId="148" fillId="0" borderId="11" xfId="11" applyNumberFormat="1" applyFont="1" applyBorder="1"/>
    <xf numFmtId="3" fontId="13" fillId="0" borderId="1" xfId="0" applyNumberFormat="1" applyFont="1" applyBorder="1" applyAlignment="1">
      <alignment horizontal="center"/>
    </xf>
    <xf numFmtId="164" fontId="35" fillId="0" borderId="1" xfId="0" applyFont="1" applyBorder="1"/>
    <xf numFmtId="174" fontId="16" fillId="0" borderId="1" xfId="10" applyNumberFormat="1" applyFont="1" applyFill="1" applyBorder="1"/>
    <xf numFmtId="164" fontId="16" fillId="0" borderId="1" xfId="0" applyFont="1" applyBorder="1" applyAlignment="1">
      <alignment vertical="center"/>
    </xf>
    <xf numFmtId="174" fontId="16" fillId="0" borderId="1" xfId="10" applyNumberFormat="1" applyFont="1" applyFill="1" applyBorder="1" applyAlignment="1">
      <alignment vertical="center"/>
    </xf>
    <xf numFmtId="174" fontId="16" fillId="0" borderId="1" xfId="10" applyNumberFormat="1" applyFont="1" applyBorder="1"/>
    <xf numFmtId="9" fontId="20" fillId="0" borderId="0" xfId="10" applyFont="1"/>
    <xf numFmtId="164" fontId="116" fillId="0" borderId="0" xfId="0" applyFont="1" applyAlignment="1">
      <alignment horizontal="left"/>
    </xf>
    <xf numFmtId="164" fontId="21" fillId="0" borderId="0" xfId="0" applyFont="1" applyProtection="1">
      <protection hidden="1"/>
    </xf>
    <xf numFmtId="164" fontId="13" fillId="0" borderId="11" xfId="0" applyFont="1" applyBorder="1" applyAlignment="1" applyProtection="1">
      <alignment horizontal="center" vertical="center"/>
      <protection hidden="1"/>
    </xf>
    <xf numFmtId="3" fontId="20" fillId="0" borderId="1" xfId="0" applyNumberFormat="1" applyFont="1" applyBorder="1" applyProtection="1">
      <protection hidden="1"/>
    </xf>
    <xf numFmtId="3" fontId="13" fillId="0" borderId="1" xfId="0" applyNumberFormat="1" applyFont="1" applyBorder="1" applyProtection="1">
      <protection hidden="1"/>
    </xf>
    <xf numFmtId="0" fontId="4" fillId="0" borderId="0" xfId="11" applyFont="1"/>
    <xf numFmtId="2" fontId="4" fillId="7" borderId="1" xfId="6" applyNumberFormat="1" applyFont="1" applyFill="1" applyBorder="1" applyProtection="1">
      <protection locked="0"/>
    </xf>
    <xf numFmtId="0" fontId="6" fillId="0" borderId="228" xfId="11" applyBorder="1"/>
    <xf numFmtId="0" fontId="4" fillId="21" borderId="1" xfId="11" applyFont="1" applyFill="1" applyBorder="1" applyAlignment="1">
      <alignment horizontal="center"/>
    </xf>
    <xf numFmtId="0" fontId="4" fillId="21" borderId="1" xfId="11" applyFont="1" applyFill="1" applyBorder="1"/>
    <xf numFmtId="164" fontId="109" fillId="7" borderId="1" xfId="11" applyNumberFormat="1" applyFont="1" applyFill="1" applyBorder="1" applyProtection="1">
      <protection locked="0"/>
    </xf>
    <xf numFmtId="0" fontId="109" fillId="12" borderId="1" xfId="11" applyFont="1" applyFill="1" applyBorder="1" applyProtection="1">
      <protection locked="0"/>
    </xf>
    <xf numFmtId="0" fontId="4" fillId="6" borderId="173" xfId="11" applyFont="1" applyFill="1" applyBorder="1"/>
    <xf numFmtId="0" fontId="6" fillId="6" borderId="0" xfId="11" applyFill="1"/>
    <xf numFmtId="0" fontId="6" fillId="6" borderId="171" xfId="11" applyFill="1" applyBorder="1"/>
    <xf numFmtId="0" fontId="107" fillId="6" borderId="0" xfId="11" applyFont="1" applyFill="1"/>
    <xf numFmtId="0" fontId="6" fillId="6" borderId="29" xfId="11" applyFill="1" applyBorder="1"/>
    <xf numFmtId="0" fontId="4" fillId="6" borderId="0" xfId="11" applyFont="1" applyFill="1"/>
    <xf numFmtId="0" fontId="6" fillId="6" borderId="170" xfId="11" applyFill="1" applyBorder="1"/>
    <xf numFmtId="164" fontId="35" fillId="7" borderId="0" xfId="0" applyFont="1" applyFill="1" applyAlignment="1" applyProtection="1">
      <alignment horizontal="center"/>
      <protection locked="0"/>
    </xf>
    <xf numFmtId="164" fontId="16" fillId="7" borderId="1" xfId="0" applyFont="1" applyFill="1" applyBorder="1" applyProtection="1">
      <protection locked="0"/>
    </xf>
    <xf numFmtId="164" fontId="40" fillId="5" borderId="0" xfId="0" applyFont="1" applyFill="1" applyAlignment="1">
      <alignment horizontal="center" vertical="center" wrapText="1"/>
    </xf>
    <xf numFmtId="164" fontId="40" fillId="7" borderId="1" xfId="0" applyFont="1" applyFill="1" applyBorder="1" applyAlignment="1" applyProtection="1">
      <alignment horizontal="center" vertical="center" wrapText="1"/>
      <protection locked="0"/>
    </xf>
    <xf numFmtId="164" fontId="40" fillId="7" borderId="1" xfId="0" applyFont="1" applyFill="1" applyBorder="1" applyAlignment="1" applyProtection="1">
      <alignment horizontal="center" vertical="center"/>
      <protection locked="0"/>
    </xf>
    <xf numFmtId="164" fontId="16" fillId="31" borderId="1" xfId="0" applyFont="1" applyFill="1" applyBorder="1" applyAlignment="1" applyProtection="1">
      <alignment horizontal="center" vertical="center" wrapText="1"/>
      <protection locked="0"/>
    </xf>
    <xf numFmtId="164" fontId="65" fillId="31" borderId="7" xfId="0" applyFont="1" applyFill="1" applyBorder="1" applyAlignment="1" applyProtection="1">
      <alignment horizontal="center" vertical="center" wrapText="1"/>
      <protection locked="0"/>
    </xf>
    <xf numFmtId="164" fontId="140" fillId="27" borderId="167" xfId="0" applyFont="1" applyFill="1" applyBorder="1" applyProtection="1">
      <protection locked="0"/>
    </xf>
    <xf numFmtId="164" fontId="140" fillId="0" borderId="152" xfId="0" applyFont="1" applyBorder="1" applyProtection="1">
      <protection locked="0"/>
    </xf>
    <xf numFmtId="164" fontId="140" fillId="27" borderId="152" xfId="0" applyFont="1" applyFill="1" applyBorder="1" applyProtection="1">
      <protection locked="0"/>
    </xf>
    <xf numFmtId="164" fontId="136" fillId="27" borderId="152" xfId="0" applyFont="1" applyFill="1" applyBorder="1" applyProtection="1">
      <protection locked="0"/>
    </xf>
    <xf numFmtId="164" fontId="136" fillId="0" borderId="152" xfId="0" applyFont="1" applyBorder="1" applyProtection="1">
      <protection locked="0"/>
    </xf>
    <xf numFmtId="164" fontId="140" fillId="0" borderId="167" xfId="0" applyFont="1" applyBorder="1" applyProtection="1">
      <protection locked="0"/>
    </xf>
    <xf numFmtId="164" fontId="140" fillId="27" borderId="248" xfId="0" applyFont="1" applyFill="1" applyBorder="1" applyProtection="1">
      <protection locked="0"/>
    </xf>
    <xf numFmtId="168" fontId="140" fillId="27" borderId="248" xfId="0" applyNumberFormat="1" applyFont="1" applyFill="1" applyBorder="1" applyProtection="1">
      <protection locked="0"/>
    </xf>
    <xf numFmtId="168" fontId="140" fillId="27" borderId="247" xfId="0" applyNumberFormat="1" applyFont="1" applyFill="1" applyBorder="1" applyProtection="1">
      <protection locked="0"/>
    </xf>
    <xf numFmtId="168" fontId="140" fillId="27" borderId="246" xfId="0" applyNumberFormat="1" applyFont="1" applyFill="1" applyBorder="1" applyProtection="1">
      <protection locked="0"/>
    </xf>
    <xf numFmtId="164" fontId="0" fillId="0" borderId="1" xfId="0" applyBorder="1" applyProtection="1">
      <protection locked="0"/>
    </xf>
    <xf numFmtId="164" fontId="65" fillId="0" borderId="0" xfId="0" applyFont="1" applyProtection="1">
      <protection locked="0"/>
    </xf>
    <xf numFmtId="164" fontId="65" fillId="0" borderId="1" xfId="0" applyFont="1" applyBorder="1" applyAlignment="1" applyProtection="1">
      <alignment horizontal="center"/>
      <protection locked="0"/>
    </xf>
    <xf numFmtId="164" fontId="65" fillId="0" borderId="1" xfId="0" applyFont="1" applyBorder="1" applyProtection="1">
      <protection locked="0"/>
    </xf>
    <xf numFmtId="164" fontId="65" fillId="5" borderId="1" xfId="0" applyFont="1" applyFill="1" applyBorder="1" applyProtection="1">
      <protection locked="0"/>
    </xf>
    <xf numFmtId="0" fontId="3" fillId="0" borderId="0" xfId="11" applyFont="1" applyAlignment="1">
      <alignment horizontal="left"/>
    </xf>
    <xf numFmtId="0" fontId="3" fillId="0" borderId="0" xfId="11" quotePrefix="1" applyFont="1" applyAlignment="1">
      <alignment horizontal="left"/>
    </xf>
    <xf numFmtId="14" fontId="6" fillId="0" borderId="19" xfId="11" applyNumberFormat="1" applyBorder="1" applyAlignment="1">
      <alignment horizontal="left"/>
    </xf>
    <xf numFmtId="0" fontId="2" fillId="0" borderId="23" xfId="11" applyFont="1" applyBorder="1"/>
    <xf numFmtId="0" fontId="2" fillId="0" borderId="0" xfId="11" applyFont="1"/>
    <xf numFmtId="0" fontId="2" fillId="21" borderId="1" xfId="11" applyFont="1" applyFill="1" applyBorder="1" applyAlignment="1">
      <alignment horizontal="center" vertical="center"/>
    </xf>
    <xf numFmtId="0" fontId="6" fillId="7" borderId="1" xfId="11" applyFill="1" applyBorder="1" applyAlignment="1" applyProtection="1">
      <alignment horizontal="center"/>
      <protection locked="0"/>
    </xf>
    <xf numFmtId="0" fontId="6" fillId="12" borderId="1" xfId="11" applyFill="1" applyBorder="1" applyProtection="1">
      <protection locked="0"/>
    </xf>
    <xf numFmtId="0" fontId="103" fillId="12" borderId="1" xfId="11" applyFont="1" applyFill="1" applyBorder="1" applyProtection="1">
      <protection locked="0"/>
    </xf>
    <xf numFmtId="0" fontId="6" fillId="7" borderId="1" xfId="11" applyFill="1" applyBorder="1" applyAlignment="1">
      <alignment horizontal="center"/>
    </xf>
    <xf numFmtId="0" fontId="4" fillId="7" borderId="1" xfId="11" applyFont="1" applyFill="1" applyBorder="1"/>
    <xf numFmtId="0" fontId="103" fillId="12" borderId="1" xfId="11" applyFont="1" applyFill="1" applyBorder="1"/>
    <xf numFmtId="168" fontId="109" fillId="0" borderId="0" xfId="6" applyNumberFormat="1" applyFont="1"/>
    <xf numFmtId="168" fontId="151" fillId="0" borderId="0" xfId="0" applyNumberFormat="1" applyFont="1"/>
    <xf numFmtId="0" fontId="109" fillId="19" borderId="0" xfId="6" applyFont="1" applyFill="1"/>
    <xf numFmtId="0" fontId="1" fillId="0" borderId="0" xfId="11" applyFont="1"/>
    <xf numFmtId="0" fontId="116" fillId="19" borderId="0" xfId="11" applyFont="1" applyFill="1"/>
    <xf numFmtId="0" fontId="1" fillId="23" borderId="24" xfId="11" applyFont="1" applyFill="1" applyBorder="1"/>
    <xf numFmtId="0" fontId="1" fillId="0" borderId="0" xfId="11" applyFont="1" applyAlignment="1">
      <alignment horizontal="right"/>
    </xf>
    <xf numFmtId="0" fontId="1" fillId="23" borderId="23" xfId="11" applyFont="1" applyFill="1" applyBorder="1"/>
    <xf numFmtId="177" fontId="95" fillId="0" borderId="23" xfId="12" applyNumberFormat="1" applyFont="1" applyFill="1" applyBorder="1"/>
    <xf numFmtId="177" fontId="95" fillId="0" borderId="26" xfId="12" applyNumberFormat="1" applyFont="1" applyFill="1" applyBorder="1"/>
    <xf numFmtId="178" fontId="95" fillId="0" borderId="0" xfId="11" applyNumberFormat="1" applyFont="1"/>
    <xf numFmtId="179" fontId="95" fillId="0" borderId="0" xfId="11" applyNumberFormat="1" applyFont="1"/>
    <xf numFmtId="49" fontId="16" fillId="4" borderId="1" xfId="0" applyNumberFormat="1" applyFont="1" applyFill="1" applyBorder="1" applyAlignment="1">
      <alignment horizontal="center" wrapText="1"/>
    </xf>
    <xf numFmtId="164" fontId="16" fillId="4" borderId="1" xfId="0" applyFont="1" applyFill="1" applyBorder="1" applyAlignment="1">
      <alignment horizontal="center" wrapText="1"/>
    </xf>
    <xf numFmtId="164" fontId="16" fillId="4" borderId="1" xfId="0" applyFont="1" applyFill="1" applyBorder="1" applyAlignment="1">
      <alignment horizontal="center" vertical="center"/>
    </xf>
    <xf numFmtId="164" fontId="16" fillId="4" borderId="1" xfId="0" applyFont="1" applyFill="1" applyBorder="1" applyAlignment="1">
      <alignment horizontal="center" vertical="center" wrapText="1"/>
    </xf>
    <xf numFmtId="164" fontId="16" fillId="4" borderId="8" xfId="0" applyFont="1" applyFill="1" applyBorder="1" applyAlignment="1">
      <alignment horizontal="center" vertical="center"/>
    </xf>
    <xf numFmtId="164" fontId="16" fillId="4" borderId="10" xfId="0" applyFont="1" applyFill="1" applyBorder="1" applyAlignment="1">
      <alignment horizontal="center" vertical="center"/>
    </xf>
    <xf numFmtId="164" fontId="0" fillId="4" borderId="8" xfId="0" applyFill="1" applyBorder="1" applyAlignment="1">
      <alignment horizontal="left"/>
    </xf>
    <xf numFmtId="164" fontId="0" fillId="4" borderId="9" xfId="0" applyFill="1" applyBorder="1" applyAlignment="1">
      <alignment horizontal="left"/>
    </xf>
    <xf numFmtId="164" fontId="0" fillId="4" borderId="10" xfId="0" applyFill="1" applyBorder="1" applyAlignment="1">
      <alignment horizontal="left"/>
    </xf>
    <xf numFmtId="164" fontId="76" fillId="4" borderId="0" xfId="0" applyFont="1" applyFill="1" applyAlignment="1">
      <alignment horizontal="left" wrapText="1"/>
    </xf>
    <xf numFmtId="49" fontId="15" fillId="4" borderId="24" xfId="0" applyNumberFormat="1" applyFont="1" applyFill="1" applyBorder="1" applyAlignment="1">
      <alignment horizontal="left" vertical="top" wrapText="1"/>
    </xf>
    <xf numFmtId="49" fontId="15" fillId="4" borderId="11" xfId="0" applyNumberFormat="1" applyFont="1" applyFill="1" applyBorder="1" applyAlignment="1">
      <alignment horizontal="left" vertical="top" wrapText="1"/>
    </xf>
    <xf numFmtId="49" fontId="15" fillId="4" borderId="22" xfId="0" applyNumberFormat="1" applyFont="1" applyFill="1" applyBorder="1" applyAlignment="1">
      <alignment horizontal="left" vertical="top" wrapText="1"/>
    </xf>
    <xf numFmtId="49" fontId="15" fillId="4" borderId="23" xfId="0" applyNumberFormat="1" applyFont="1" applyFill="1" applyBorder="1" applyAlignment="1">
      <alignment horizontal="left" vertical="top" wrapText="1"/>
    </xf>
    <xf numFmtId="49" fontId="15" fillId="4" borderId="0" xfId="0" applyNumberFormat="1" applyFont="1" applyFill="1" applyAlignment="1">
      <alignment horizontal="left" vertical="top" wrapText="1"/>
    </xf>
    <xf numFmtId="49" fontId="15" fillId="4" borderId="19" xfId="0" applyNumberFormat="1" applyFont="1" applyFill="1" applyBorder="1" applyAlignment="1">
      <alignment horizontal="left" vertical="top" wrapText="1"/>
    </xf>
    <xf numFmtId="49" fontId="15" fillId="4" borderId="26" xfId="0" applyNumberFormat="1" applyFont="1" applyFill="1" applyBorder="1" applyAlignment="1">
      <alignment horizontal="left" vertical="top" wrapText="1"/>
    </xf>
    <xf numFmtId="49" fontId="15" fillId="4" borderId="12" xfId="0" applyNumberFormat="1" applyFont="1" applyFill="1" applyBorder="1" applyAlignment="1">
      <alignment horizontal="left" vertical="top" wrapText="1"/>
    </xf>
    <xf numFmtId="49" fontId="15" fillId="4" borderId="13" xfId="0" applyNumberFormat="1" applyFont="1" applyFill="1" applyBorder="1" applyAlignment="1">
      <alignment horizontal="left" vertical="top" wrapText="1"/>
    </xf>
    <xf numFmtId="164" fontId="16" fillId="4" borderId="7" xfId="0" applyFont="1" applyFill="1" applyBorder="1" applyAlignment="1">
      <alignment horizontal="center" wrapText="1"/>
    </xf>
    <xf numFmtId="164" fontId="16" fillId="4" borderId="80" xfId="0" applyFont="1" applyFill="1" applyBorder="1" applyAlignment="1">
      <alignment horizontal="center" wrapText="1"/>
    </xf>
    <xf numFmtId="164" fontId="16" fillId="4" borderId="2" xfId="0" applyFont="1" applyFill="1" applyBorder="1" applyAlignment="1">
      <alignment horizontal="center" wrapText="1"/>
    </xf>
    <xf numFmtId="164" fontId="16" fillId="4" borderId="7" xfId="0" applyFont="1" applyFill="1" applyBorder="1" applyAlignment="1">
      <alignment horizontal="center"/>
    </xf>
    <xf numFmtId="164" fontId="16" fillId="4" borderId="80" xfId="0" applyFont="1" applyFill="1" applyBorder="1" applyAlignment="1">
      <alignment horizontal="center"/>
    </xf>
    <xf numFmtId="164" fontId="16" fillId="4" borderId="2" xfId="0" applyFont="1" applyFill="1" applyBorder="1" applyAlignment="1">
      <alignment horizontal="center"/>
    </xf>
    <xf numFmtId="164" fontId="0" fillId="0" borderId="1" xfId="0" applyBorder="1"/>
    <xf numFmtId="49" fontId="15" fillId="14" borderId="15" xfId="0" applyNumberFormat="1" applyFont="1" applyFill="1" applyBorder="1" applyAlignment="1">
      <alignment horizontal="left" wrapText="1"/>
    </xf>
    <xf numFmtId="49" fontId="15" fillId="14" borderId="16" xfId="0" applyNumberFormat="1" applyFont="1" applyFill="1" applyBorder="1" applyAlignment="1">
      <alignment horizontal="left" wrapText="1"/>
    </xf>
    <xf numFmtId="49" fontId="15" fillId="14" borderId="17" xfId="0" applyNumberFormat="1" applyFont="1" applyFill="1" applyBorder="1" applyAlignment="1">
      <alignment horizontal="left" wrapText="1"/>
    </xf>
    <xf numFmtId="49" fontId="22" fillId="4" borderId="12" xfId="0" applyNumberFormat="1" applyFont="1" applyFill="1" applyBorder="1" applyAlignment="1">
      <alignment horizontal="center"/>
    </xf>
    <xf numFmtId="164" fontId="22" fillId="4" borderId="12" xfId="0" applyFont="1" applyFill="1" applyBorder="1" applyAlignment="1">
      <alignment horizontal="center"/>
    </xf>
    <xf numFmtId="49" fontId="22" fillId="4" borderId="0" xfId="0" applyNumberFormat="1" applyFont="1" applyFill="1" applyAlignment="1">
      <alignment horizontal="center"/>
    </xf>
    <xf numFmtId="164" fontId="14" fillId="4" borderId="0" xfId="0" applyFont="1" applyFill="1" applyAlignment="1">
      <alignment horizontal="center"/>
    </xf>
    <xf numFmtId="164" fontId="16" fillId="4" borderId="8" xfId="0" applyFont="1" applyFill="1" applyBorder="1" applyAlignment="1">
      <alignment horizontal="left"/>
    </xf>
    <xf numFmtId="164" fontId="16" fillId="4" borderId="9" xfId="0" applyFont="1" applyFill="1" applyBorder="1" applyAlignment="1">
      <alignment horizontal="left"/>
    </xf>
    <xf numFmtId="164" fontId="16" fillId="4" borderId="10" xfId="0" applyFont="1" applyFill="1" applyBorder="1" applyAlignment="1">
      <alignment horizontal="left"/>
    </xf>
    <xf numFmtId="164" fontId="0" fillId="0" borderId="12" xfId="0" applyBorder="1" applyAlignment="1">
      <alignment horizontal="center"/>
    </xf>
    <xf numFmtId="164" fontId="0" fillId="0" borderId="0" xfId="0" applyAlignment="1">
      <alignment horizontal="center"/>
    </xf>
    <xf numFmtId="164" fontId="0" fillId="4" borderId="8" xfId="0" applyFill="1" applyBorder="1"/>
    <xf numFmtId="164" fontId="0" fillId="0" borderId="10" xfId="0" applyBorder="1"/>
    <xf numFmtId="49" fontId="99" fillId="14" borderId="15" xfId="0" applyNumberFormat="1" applyFont="1" applyFill="1" applyBorder="1" applyAlignment="1">
      <alignment horizontal="center" vertical="center" wrapText="1"/>
    </xf>
    <xf numFmtId="164" fontId="100" fillId="14" borderId="16" xfId="0" applyFont="1" applyFill="1" applyBorder="1" applyAlignment="1">
      <alignment horizontal="center" vertical="center" wrapText="1"/>
    </xf>
    <xf numFmtId="164" fontId="100" fillId="14" borderId="17" xfId="0" applyFont="1" applyFill="1" applyBorder="1" applyAlignment="1">
      <alignment horizontal="center" vertical="center" wrapText="1"/>
    </xf>
    <xf numFmtId="164" fontId="100" fillId="14" borderId="20" xfId="0" applyFont="1" applyFill="1" applyBorder="1" applyAlignment="1">
      <alignment horizontal="center" vertical="center" wrapText="1"/>
    </xf>
    <xf numFmtId="164" fontId="100" fillId="14" borderId="6" xfId="0" applyFont="1" applyFill="1" applyBorder="1" applyAlignment="1">
      <alignment horizontal="center" vertical="center" wrapText="1"/>
    </xf>
    <xf numFmtId="164" fontId="100" fillId="14" borderId="21" xfId="0" applyFont="1" applyFill="1" applyBorder="1" applyAlignment="1">
      <alignment horizontal="center" vertical="center" wrapText="1"/>
    </xf>
    <xf numFmtId="164" fontId="15" fillId="0" borderId="1" xfId="0" applyFont="1" applyBorder="1" applyAlignment="1">
      <alignment horizontal="center" wrapText="1"/>
    </xf>
    <xf numFmtId="164" fontId="16" fillId="0" borderId="1" xfId="0" applyFont="1" applyBorder="1" applyAlignment="1">
      <alignment horizontal="center"/>
    </xf>
    <xf numFmtId="164" fontId="15" fillId="4" borderId="8" xfId="0" applyFont="1" applyFill="1" applyBorder="1" applyAlignment="1">
      <alignment horizontal="center"/>
    </xf>
    <xf numFmtId="164" fontId="15" fillId="4" borderId="10" xfId="0" applyFont="1" applyFill="1" applyBorder="1" applyAlignment="1">
      <alignment horizontal="center"/>
    </xf>
    <xf numFmtId="164" fontId="16" fillId="4" borderId="9" xfId="0" applyFont="1" applyFill="1" applyBorder="1" applyAlignment="1">
      <alignment horizontal="center" vertical="center"/>
    </xf>
    <xf numFmtId="164" fontId="16" fillId="0" borderId="1" xfId="0" applyFont="1" applyBorder="1" applyAlignment="1">
      <alignment horizontal="center" wrapText="1"/>
    </xf>
    <xf numFmtId="164" fontId="16" fillId="4" borderId="8" xfId="0" applyFont="1" applyFill="1" applyBorder="1" applyAlignment="1">
      <alignment horizontal="center" wrapText="1"/>
    </xf>
    <xf numFmtId="164" fontId="16" fillId="0" borderId="10" xfId="0" applyFont="1" applyBorder="1"/>
    <xf numFmtId="164" fontId="16" fillId="4" borderId="8" xfId="0" applyFont="1" applyFill="1" applyBorder="1" applyAlignment="1">
      <alignment horizontal="center"/>
    </xf>
    <xf numFmtId="164" fontId="16" fillId="4" borderId="9" xfId="0" applyFont="1" applyFill="1" applyBorder="1" applyAlignment="1">
      <alignment horizontal="center"/>
    </xf>
    <xf numFmtId="164" fontId="16" fillId="4" borderId="10" xfId="0" applyFont="1" applyFill="1" applyBorder="1" applyAlignment="1">
      <alignment horizontal="center"/>
    </xf>
    <xf numFmtId="164" fontId="95" fillId="0" borderId="0" xfId="0" applyFont="1" applyAlignment="1">
      <alignment horizontal="left" wrapText="1"/>
    </xf>
    <xf numFmtId="164" fontId="95" fillId="26" borderId="0" xfId="0" applyFont="1" applyFill="1" applyAlignment="1">
      <alignment horizontal="center" vertical="center"/>
    </xf>
    <xf numFmtId="164" fontId="95" fillId="7" borderId="0" xfId="0" applyFont="1" applyFill="1" applyAlignment="1">
      <alignment horizontal="center" vertical="center"/>
    </xf>
    <xf numFmtId="164" fontId="95" fillId="0" borderId="0" xfId="0" quotePrefix="1" applyFont="1" applyAlignment="1">
      <alignment horizontal="left"/>
    </xf>
    <xf numFmtId="164" fontId="95" fillId="0" borderId="0" xfId="0" applyFont="1" applyAlignment="1">
      <alignment horizontal="left"/>
    </xf>
    <xf numFmtId="0" fontId="7" fillId="21" borderId="160" xfId="6" applyFill="1" applyBorder="1" applyAlignment="1">
      <alignment horizontal="left" vertical="top" wrapText="1"/>
    </xf>
    <xf numFmtId="0" fontId="7" fillId="0" borderId="159" xfId="6" applyBorder="1" applyAlignment="1">
      <alignment horizontal="left" vertical="top" wrapText="1"/>
    </xf>
    <xf numFmtId="0" fontId="7" fillId="0" borderId="158" xfId="6" applyBorder="1" applyAlignment="1">
      <alignment horizontal="left" vertical="top" wrapText="1"/>
    </xf>
    <xf numFmtId="0" fontId="7" fillId="21" borderId="160" xfId="6" applyFill="1" applyBorder="1" applyAlignment="1">
      <alignment horizontal="left" vertical="top"/>
    </xf>
    <xf numFmtId="0" fontId="7" fillId="0" borderId="159" xfId="6" applyBorder="1" applyAlignment="1">
      <alignment horizontal="left" vertical="top"/>
    </xf>
    <xf numFmtId="0" fontId="7" fillId="0" borderId="158" xfId="6" applyBorder="1" applyAlignment="1">
      <alignment horizontal="left" vertical="top"/>
    </xf>
    <xf numFmtId="0" fontId="7" fillId="21" borderId="166" xfId="6" applyFill="1" applyBorder="1" applyAlignment="1">
      <alignment horizontal="left" vertical="top"/>
    </xf>
    <xf numFmtId="0" fontId="7" fillId="0" borderId="165" xfId="6" applyBorder="1" applyAlignment="1">
      <alignment horizontal="left" vertical="top"/>
    </xf>
    <xf numFmtId="0" fontId="7" fillId="0" borderId="164" xfId="6" applyBorder="1" applyAlignment="1">
      <alignment horizontal="left" vertical="top"/>
    </xf>
    <xf numFmtId="0" fontId="108" fillId="21" borderId="163" xfId="8" applyFill="1" applyBorder="1" applyAlignment="1">
      <alignment horizontal="left" vertical="top"/>
    </xf>
    <xf numFmtId="0" fontId="7" fillId="0" borderId="162" xfId="6" applyBorder="1" applyAlignment="1">
      <alignment horizontal="left" vertical="top"/>
    </xf>
    <xf numFmtId="0" fontId="7" fillId="0" borderId="161" xfId="6" applyBorder="1" applyAlignment="1">
      <alignment horizontal="left" vertical="top"/>
    </xf>
    <xf numFmtId="164" fontId="0" fillId="0" borderId="159" xfId="0" applyBorder="1" applyAlignment="1">
      <alignment horizontal="left" wrapText="1"/>
    </xf>
    <xf numFmtId="164" fontId="0" fillId="0" borderId="158" xfId="0" applyBorder="1" applyAlignment="1">
      <alignment horizontal="left" wrapText="1"/>
    </xf>
    <xf numFmtId="0" fontId="102" fillId="21" borderId="159" xfId="6" applyFont="1" applyFill="1" applyBorder="1" applyAlignment="1">
      <alignment horizontal="left" wrapText="1"/>
    </xf>
    <xf numFmtId="164" fontId="96" fillId="0" borderId="159" xfId="0" applyFont="1" applyBorder="1" applyAlignment="1">
      <alignment horizontal="left" wrapText="1"/>
    </xf>
    <xf numFmtId="0" fontId="4" fillId="21" borderId="1" xfId="11" applyFont="1" applyFill="1" applyBorder="1" applyAlignment="1">
      <alignment horizontal="left" wrapText="1"/>
    </xf>
    <xf numFmtId="0" fontId="4" fillId="7" borderId="8" xfId="6" applyFont="1" applyFill="1" applyBorder="1" applyProtection="1">
      <protection locked="0"/>
    </xf>
    <xf numFmtId="0" fontId="7" fillId="7" borderId="9" xfId="6" applyFill="1" applyBorder="1" applyProtection="1">
      <protection locked="0"/>
    </xf>
    <xf numFmtId="164" fontId="0" fillId="7" borderId="10" xfId="0" applyFill="1" applyBorder="1" applyProtection="1">
      <protection locked="0"/>
    </xf>
    <xf numFmtId="0" fontId="150" fillId="6" borderId="9" xfId="11" applyFont="1" applyFill="1" applyBorder="1" applyAlignment="1">
      <alignment horizontal="center"/>
    </xf>
    <xf numFmtId="0" fontId="114" fillId="21" borderId="8" xfId="3" applyNumberFormat="1" applyFont="1" applyFill="1" applyBorder="1" applyAlignment="1" applyProtection="1"/>
    <xf numFmtId="164" fontId="114" fillId="0" borderId="9" xfId="3" applyFont="1" applyBorder="1" applyAlignment="1" applyProtection="1"/>
    <xf numFmtId="164" fontId="114" fillId="0" borderId="10" xfId="3" applyFont="1" applyBorder="1" applyAlignment="1" applyProtection="1"/>
    <xf numFmtId="0" fontId="6" fillId="0" borderId="8" xfId="11" applyBorder="1" applyAlignment="1" applyProtection="1">
      <alignment horizontal="center"/>
      <protection locked="0"/>
    </xf>
    <xf numFmtId="164" fontId="0" fillId="0" borderId="10" xfId="0" applyBorder="1" applyAlignment="1" applyProtection="1">
      <alignment horizontal="center"/>
      <protection locked="0"/>
    </xf>
    <xf numFmtId="0" fontId="6" fillId="6" borderId="8" xfId="11" applyFill="1" applyBorder="1"/>
    <xf numFmtId="164" fontId="0" fillId="6" borderId="10" xfId="0" applyFill="1" applyBorder="1"/>
    <xf numFmtId="168" fontId="6" fillId="21" borderId="8" xfId="11" applyNumberFormat="1" applyFill="1" applyBorder="1" applyAlignment="1">
      <alignment vertical="top" wrapText="1"/>
    </xf>
    <xf numFmtId="164" fontId="0" fillId="0" borderId="9" xfId="0" applyBorder="1" applyAlignment="1">
      <alignment vertical="top" wrapText="1"/>
    </xf>
    <xf numFmtId="164" fontId="0" fillId="0" borderId="10" xfId="0" applyBorder="1" applyAlignment="1">
      <alignment vertical="top" wrapText="1"/>
    </xf>
    <xf numFmtId="0" fontId="108" fillId="21" borderId="8" xfId="8" applyFill="1" applyBorder="1" applyAlignment="1" applyProtection="1"/>
    <xf numFmtId="0" fontId="108" fillId="21" borderId="9" xfId="8" applyFill="1" applyBorder="1" applyAlignment="1" applyProtection="1"/>
    <xf numFmtId="0" fontId="108" fillId="21" borderId="10" xfId="8" applyFill="1" applyBorder="1" applyAlignment="1" applyProtection="1"/>
    <xf numFmtId="0" fontId="109" fillId="7" borderId="8" xfId="11" applyFont="1" applyFill="1" applyBorder="1" applyProtection="1">
      <protection locked="0"/>
    </xf>
    <xf numFmtId="0" fontId="109" fillId="7" borderId="10" xfId="11" applyFont="1" applyFill="1" applyBorder="1" applyProtection="1">
      <protection locked="0"/>
    </xf>
    <xf numFmtId="0" fontId="109" fillId="7" borderId="8" xfId="11" applyFont="1" applyFill="1" applyBorder="1" applyAlignment="1" applyProtection="1">
      <alignment horizontal="left"/>
      <protection locked="0"/>
    </xf>
    <xf numFmtId="0" fontId="109" fillId="7" borderId="10" xfId="11" applyFont="1" applyFill="1" applyBorder="1" applyAlignment="1" applyProtection="1">
      <alignment horizontal="left"/>
      <protection locked="0"/>
    </xf>
    <xf numFmtId="0" fontId="6" fillId="21" borderId="24" xfId="11" applyFill="1" applyBorder="1" applyAlignment="1">
      <alignment vertical="top" wrapText="1"/>
    </xf>
    <xf numFmtId="164" fontId="0" fillId="0" borderId="11" xfId="0" applyBorder="1" applyAlignment="1">
      <alignment vertical="top" wrapText="1"/>
    </xf>
    <xf numFmtId="164" fontId="0" fillId="0" borderId="22" xfId="0" applyBorder="1" applyAlignment="1">
      <alignment vertical="top" wrapText="1"/>
    </xf>
    <xf numFmtId="164" fontId="0" fillId="0" borderId="23" xfId="0" applyBorder="1" applyAlignment="1">
      <alignment vertical="top" wrapText="1"/>
    </xf>
    <xf numFmtId="164" fontId="0" fillId="0" borderId="0" xfId="0" applyAlignment="1">
      <alignment vertical="top" wrapText="1"/>
    </xf>
    <xf numFmtId="164" fontId="0" fillId="0" borderId="19" xfId="0" applyBorder="1" applyAlignment="1">
      <alignment vertical="top" wrapText="1"/>
    </xf>
    <xf numFmtId="164" fontId="0" fillId="0" borderId="26" xfId="0" applyBorder="1" applyAlignment="1">
      <alignment vertical="top" wrapText="1"/>
    </xf>
    <xf numFmtId="164" fontId="0" fillId="0" borderId="12" xfId="0" applyBorder="1" applyAlignment="1">
      <alignment vertical="top" wrapText="1"/>
    </xf>
    <xf numFmtId="164" fontId="0" fillId="0" borderId="13" xfId="0" applyBorder="1" applyAlignment="1">
      <alignment vertical="top" wrapText="1"/>
    </xf>
    <xf numFmtId="0" fontId="6" fillId="21" borderId="8" xfId="11" applyFill="1" applyBorder="1"/>
    <xf numFmtId="0" fontId="6" fillId="0" borderId="9" xfId="11" applyBorder="1"/>
    <xf numFmtId="0" fontId="6" fillId="21" borderId="24" xfId="11" applyFill="1" applyBorder="1" applyAlignment="1">
      <alignment vertical="top"/>
    </xf>
    <xf numFmtId="164" fontId="0" fillId="0" borderId="11" xfId="0" applyBorder="1" applyAlignment="1">
      <alignment vertical="top"/>
    </xf>
    <xf numFmtId="164" fontId="0" fillId="0" borderId="22" xfId="0" applyBorder="1" applyAlignment="1">
      <alignment vertical="top"/>
    </xf>
    <xf numFmtId="164" fontId="0" fillId="0" borderId="23" xfId="0" applyBorder="1" applyAlignment="1">
      <alignment vertical="top"/>
    </xf>
    <xf numFmtId="164" fontId="0" fillId="0" borderId="0" xfId="0" applyAlignment="1">
      <alignment vertical="top"/>
    </xf>
    <xf numFmtId="164" fontId="0" fillId="0" borderId="19" xfId="0" applyBorder="1" applyAlignment="1">
      <alignment vertical="top"/>
    </xf>
    <xf numFmtId="164" fontId="0" fillId="0" borderId="26" xfId="0" applyBorder="1" applyAlignment="1">
      <alignment vertical="top"/>
    </xf>
    <xf numFmtId="164" fontId="0" fillId="0" borderId="12" xfId="0" applyBorder="1" applyAlignment="1">
      <alignment vertical="top"/>
    </xf>
    <xf numFmtId="164" fontId="0" fillId="0" borderId="13" xfId="0" applyBorder="1" applyAlignment="1">
      <alignment vertical="top"/>
    </xf>
    <xf numFmtId="0" fontId="112" fillId="21" borderId="26" xfId="3" applyNumberFormat="1" applyFont="1" applyFill="1" applyBorder="1" applyAlignment="1" applyProtection="1">
      <alignment horizontal="center" wrapText="1"/>
    </xf>
    <xf numFmtId="164" fontId="0" fillId="0" borderId="12" xfId="0" applyBorder="1" applyAlignment="1">
      <alignment horizontal="center" wrapText="1"/>
    </xf>
    <xf numFmtId="164" fontId="0" fillId="0" borderId="13" xfId="0" applyBorder="1" applyAlignment="1">
      <alignment horizontal="center" wrapText="1"/>
    </xf>
    <xf numFmtId="0" fontId="102" fillId="21" borderId="8" xfId="11" applyFont="1" applyFill="1" applyBorder="1" applyAlignment="1">
      <alignment horizontal="center" vertical="center"/>
    </xf>
    <xf numFmtId="164" fontId="0" fillId="0" borderId="9" xfId="0" applyBorder="1" applyAlignment="1">
      <alignment horizontal="center" vertical="center"/>
    </xf>
    <xf numFmtId="164" fontId="0" fillId="0" borderId="10" xfId="0" applyBorder="1" applyAlignment="1">
      <alignment horizontal="center" vertical="center"/>
    </xf>
    <xf numFmtId="0" fontId="118" fillId="21" borderId="8" xfId="11" applyFont="1" applyFill="1" applyBorder="1" applyAlignment="1">
      <alignment horizontal="center" vertical="center" wrapText="1"/>
    </xf>
    <xf numFmtId="164" fontId="115" fillId="0" borderId="10" xfId="0" applyFont="1" applyBorder="1" applyAlignment="1">
      <alignment horizontal="center" vertical="center" wrapText="1"/>
    </xf>
    <xf numFmtId="164" fontId="54" fillId="0" borderId="23" xfId="0" applyFont="1" applyBorder="1" applyAlignment="1">
      <alignment horizontal="right"/>
    </xf>
    <xf numFmtId="164" fontId="54" fillId="0" borderId="0" xfId="0" applyFont="1" applyAlignment="1">
      <alignment horizontal="right"/>
    </xf>
    <xf numFmtId="164" fontId="54" fillId="0" borderId="19" xfId="0" applyFont="1" applyBorder="1" applyAlignment="1">
      <alignment horizontal="right"/>
    </xf>
    <xf numFmtId="164" fontId="68" fillId="17" borderId="148" xfId="0" applyFont="1" applyFill="1" applyBorder="1" applyAlignment="1" applyProtection="1">
      <alignment horizontal="left" vertical="center" wrapText="1"/>
      <protection locked="0"/>
    </xf>
    <xf numFmtId="164" fontId="68" fillId="17" borderId="149" xfId="0" applyFont="1" applyFill="1" applyBorder="1" applyAlignment="1" applyProtection="1">
      <alignment horizontal="left" vertical="center" wrapText="1"/>
      <protection locked="0"/>
    </xf>
    <xf numFmtId="164" fontId="68" fillId="17" borderId="150" xfId="0" applyFont="1" applyFill="1" applyBorder="1" applyAlignment="1" applyProtection="1">
      <alignment horizontal="left" vertical="center" wrapText="1"/>
      <protection locked="0"/>
    </xf>
    <xf numFmtId="164" fontId="30" fillId="16" borderId="16" xfId="0" applyFont="1" applyFill="1" applyBorder="1" applyAlignment="1">
      <alignment horizontal="center" vertical="center"/>
    </xf>
    <xf numFmtId="164" fontId="68" fillId="11" borderId="77" xfId="0" applyFont="1" applyFill="1" applyBorder="1" applyAlignment="1">
      <alignment horizontal="left" vertical="center" wrapText="1"/>
    </xf>
    <xf numFmtId="164" fontId="68" fillId="11" borderId="78" xfId="0" applyFont="1" applyFill="1" applyBorder="1" applyAlignment="1">
      <alignment horizontal="left" vertical="center" wrapText="1"/>
    </xf>
    <xf numFmtId="164" fontId="68" fillId="11" borderId="79" xfId="0" applyFont="1" applyFill="1" applyBorder="1" applyAlignment="1">
      <alignment horizontal="left" vertical="center" wrapText="1"/>
    </xf>
    <xf numFmtId="164" fontId="55" fillId="18" borderId="14" xfId="0" applyFont="1" applyFill="1" applyBorder="1" applyAlignment="1">
      <alignment horizontal="center" wrapText="1"/>
    </xf>
    <xf numFmtId="164" fontId="55" fillId="18" borderId="19" xfId="0" applyFont="1" applyFill="1" applyBorder="1" applyAlignment="1">
      <alignment horizontal="center" wrapText="1"/>
    </xf>
    <xf numFmtId="164" fontId="13" fillId="0" borderId="11" xfId="0" applyFont="1" applyBorder="1" applyAlignment="1">
      <alignment horizontal="center" vertical="center"/>
    </xf>
    <xf numFmtId="164" fontId="13" fillId="0" borderId="22" xfId="0" applyFont="1" applyBorder="1" applyAlignment="1">
      <alignment horizontal="center" vertical="center"/>
    </xf>
    <xf numFmtId="164" fontId="13" fillId="0" borderId="0" xfId="0" applyFont="1" applyAlignment="1">
      <alignment horizontal="center" vertical="center"/>
    </xf>
    <xf numFmtId="164" fontId="13" fillId="0" borderId="19" xfId="0" applyFont="1" applyBorder="1" applyAlignment="1">
      <alignment horizontal="center" vertical="center"/>
    </xf>
    <xf numFmtId="164" fontId="20" fillId="3" borderId="7" xfId="0" applyFont="1" applyFill="1" applyBorder="1" applyAlignment="1" applyProtection="1">
      <alignment horizontal="center" vertical="center"/>
      <protection locked="0"/>
    </xf>
    <xf numFmtId="164" fontId="20" fillId="3" borderId="2" xfId="0" applyFont="1" applyFill="1" applyBorder="1" applyAlignment="1" applyProtection="1">
      <alignment horizontal="center" vertical="center"/>
      <protection locked="0"/>
    </xf>
    <xf numFmtId="3" fontId="13" fillId="0" borderId="1" xfId="0" applyNumberFormat="1" applyFont="1" applyBorder="1" applyAlignment="1">
      <alignment horizontal="left"/>
    </xf>
    <xf numFmtId="164" fontId="13" fillId="0" borderId="64" xfId="0" applyFont="1" applyBorder="1" applyAlignment="1">
      <alignment horizontal="center"/>
    </xf>
    <xf numFmtId="164" fontId="13" fillId="0" borderId="65" xfId="0" applyFont="1" applyBorder="1" applyAlignment="1">
      <alignment horizontal="center"/>
    </xf>
    <xf numFmtId="164" fontId="35" fillId="16" borderId="14" xfId="0" applyFont="1" applyFill="1" applyBorder="1" applyAlignment="1">
      <alignment horizontal="center" wrapText="1"/>
    </xf>
    <xf numFmtId="164" fontId="35" fillId="16" borderId="0" xfId="0" applyFont="1" applyFill="1" applyAlignment="1">
      <alignment horizontal="center" wrapText="1"/>
    </xf>
    <xf numFmtId="164" fontId="30" fillId="0" borderId="49" xfId="0" applyFont="1" applyBorder="1" applyAlignment="1">
      <alignment horizontal="center" vertical="center"/>
    </xf>
    <xf numFmtId="164" fontId="30" fillId="0" borderId="47" xfId="0" applyFont="1" applyBorder="1" applyAlignment="1">
      <alignment horizontal="center" vertical="center"/>
    </xf>
    <xf numFmtId="164" fontId="30" fillId="0" borderId="50" xfId="0" applyFont="1" applyBorder="1" applyAlignment="1">
      <alignment horizontal="center" vertical="center"/>
    </xf>
    <xf numFmtId="164" fontId="68" fillId="0" borderId="51" xfId="0" applyFont="1" applyBorder="1" applyAlignment="1">
      <alignment horizontal="left" vertical="top" wrapText="1"/>
    </xf>
    <xf numFmtId="164" fontId="68" fillId="0" borderId="12" xfId="0" applyFont="1" applyBorder="1" applyAlignment="1">
      <alignment horizontal="left" vertical="top" wrapText="1"/>
    </xf>
    <xf numFmtId="164" fontId="68" fillId="0" borderId="52" xfId="0" applyFont="1" applyBorder="1" applyAlignment="1">
      <alignment horizontal="left" vertical="top" wrapText="1"/>
    </xf>
    <xf numFmtId="164" fontId="72" fillId="18" borderId="0" xfId="0" applyFont="1" applyFill="1" applyAlignment="1">
      <alignment horizontal="center" vertical="top"/>
    </xf>
    <xf numFmtId="164" fontId="13" fillId="0" borderId="11" xfId="0" applyFont="1" applyBorder="1" applyAlignment="1">
      <alignment horizontal="center"/>
    </xf>
    <xf numFmtId="164" fontId="13" fillId="0" borderId="0" xfId="0" applyFont="1" applyAlignment="1">
      <alignment horizontal="center"/>
    </xf>
    <xf numFmtId="164" fontId="20" fillId="16" borderId="20" xfId="0" applyFont="1" applyFill="1" applyBorder="1" applyAlignment="1">
      <alignment horizontal="right" vertical="center"/>
    </xf>
    <xf numFmtId="164" fontId="20" fillId="16" borderId="6" xfId="0" applyFont="1" applyFill="1" applyBorder="1" applyAlignment="1">
      <alignment horizontal="right" vertical="center"/>
    </xf>
    <xf numFmtId="164" fontId="52" fillId="0" borderId="0" xfId="0" applyFont="1" applyAlignment="1">
      <alignment horizontal="center" vertical="center"/>
    </xf>
    <xf numFmtId="164" fontId="30" fillId="13" borderId="70" xfId="0" applyFont="1" applyFill="1" applyBorder="1" applyAlignment="1">
      <alignment horizontal="center" vertical="center"/>
    </xf>
    <xf numFmtId="164" fontId="30" fillId="10" borderId="16" xfId="0" applyFont="1" applyFill="1" applyBorder="1" applyAlignment="1" applyProtection="1">
      <alignment horizontal="center" vertical="center"/>
      <protection locked="0"/>
    </xf>
    <xf numFmtId="164" fontId="30" fillId="11" borderId="73" xfId="0" applyFont="1" applyFill="1" applyBorder="1" applyAlignment="1">
      <alignment horizontal="center" vertical="center"/>
    </xf>
    <xf numFmtId="164" fontId="47" fillId="13" borderId="70" xfId="0" applyFont="1" applyFill="1" applyBorder="1" applyAlignment="1">
      <alignment horizontal="left" vertical="top"/>
    </xf>
    <xf numFmtId="164" fontId="35" fillId="11" borderId="14" xfId="0" applyFont="1" applyFill="1" applyBorder="1" applyAlignment="1">
      <alignment horizontal="center" wrapText="1"/>
    </xf>
    <xf numFmtId="164" fontId="35" fillId="11" borderId="19" xfId="0" applyFont="1" applyFill="1" applyBorder="1" applyAlignment="1">
      <alignment horizontal="center" wrapText="1"/>
    </xf>
    <xf numFmtId="164" fontId="50" fillId="8" borderId="0" xfId="0" applyFont="1" applyFill="1" applyAlignment="1">
      <alignment horizontal="right"/>
    </xf>
    <xf numFmtId="164" fontId="47" fillId="8" borderId="0" xfId="0" applyFont="1" applyFill="1" applyAlignment="1">
      <alignment horizontal="right"/>
    </xf>
    <xf numFmtId="164" fontId="20" fillId="8" borderId="0" xfId="0" applyFont="1" applyFill="1" applyAlignment="1">
      <alignment horizontal="right"/>
    </xf>
    <xf numFmtId="164" fontId="13" fillId="0" borderId="15" xfId="0" applyFont="1" applyBorder="1" applyAlignment="1">
      <alignment horizontal="center"/>
    </xf>
    <xf numFmtId="164" fontId="13" fillId="0" borderId="16" xfId="0" applyFont="1" applyBorder="1" applyAlignment="1">
      <alignment horizontal="center"/>
    </xf>
    <xf numFmtId="164" fontId="13" fillId="0" borderId="17" xfId="0" applyFont="1" applyBorder="1" applyAlignment="1">
      <alignment horizontal="center"/>
    </xf>
    <xf numFmtId="164" fontId="20" fillId="0" borderId="8" xfId="0" applyFont="1" applyBorder="1" applyAlignment="1">
      <alignment horizontal="right" vertical="center"/>
    </xf>
    <xf numFmtId="164" fontId="20" fillId="0" borderId="9" xfId="0" applyFont="1" applyBorder="1" applyAlignment="1">
      <alignment horizontal="right" vertical="center"/>
    </xf>
    <xf numFmtId="164" fontId="20" fillId="0" borderId="10" xfId="0" applyFont="1" applyBorder="1" applyAlignment="1">
      <alignment horizontal="right" vertical="center"/>
    </xf>
    <xf numFmtId="164" fontId="13" fillId="8" borderId="0" xfId="0" applyFont="1" applyFill="1" applyAlignment="1">
      <alignment horizontal="right"/>
    </xf>
    <xf numFmtId="164" fontId="68" fillId="14" borderId="71" xfId="0" applyFont="1" applyFill="1" applyBorder="1" applyAlignment="1">
      <alignment horizontal="left" vertical="center" wrapText="1"/>
    </xf>
    <xf numFmtId="164" fontId="68" fillId="14" borderId="72" xfId="0" applyFont="1" applyFill="1" applyBorder="1" applyAlignment="1">
      <alignment horizontal="left" vertical="center" wrapText="1"/>
    </xf>
    <xf numFmtId="164" fontId="13" fillId="4" borderId="8" xfId="0" applyFont="1" applyFill="1" applyBorder="1" applyAlignment="1">
      <alignment horizontal="right" vertical="center"/>
    </xf>
    <xf numFmtId="164" fontId="13" fillId="4" borderId="9" xfId="0" applyFont="1" applyFill="1" applyBorder="1" applyAlignment="1">
      <alignment horizontal="right" vertical="center"/>
    </xf>
    <xf numFmtId="164" fontId="13" fillId="0" borderId="8" xfId="0" applyFont="1" applyBorder="1" applyAlignment="1">
      <alignment horizontal="right" vertical="center"/>
    </xf>
    <xf numFmtId="164" fontId="13" fillId="0" borderId="10" xfId="0" applyFont="1" applyBorder="1" applyAlignment="1">
      <alignment horizontal="right" vertical="center"/>
    </xf>
    <xf numFmtId="164" fontId="13" fillId="4" borderId="11" xfId="0" applyFont="1" applyFill="1" applyBorder="1" applyAlignment="1">
      <alignment horizontal="center"/>
    </xf>
    <xf numFmtId="164" fontId="13" fillId="4" borderId="30" xfId="0" applyFont="1" applyFill="1" applyBorder="1" applyAlignment="1">
      <alignment horizontal="center"/>
    </xf>
    <xf numFmtId="0" fontId="50" fillId="7" borderId="24" xfId="0" applyNumberFormat="1" applyFont="1" applyFill="1" applyBorder="1" applyAlignment="1" applyProtection="1">
      <alignment horizontal="left" vertical="top" wrapText="1"/>
      <protection locked="0"/>
    </xf>
    <xf numFmtId="0" fontId="50" fillId="7" borderId="11" xfId="0" applyNumberFormat="1" applyFont="1" applyFill="1" applyBorder="1" applyAlignment="1" applyProtection="1">
      <alignment horizontal="left" vertical="top" wrapText="1"/>
      <protection locked="0"/>
    </xf>
    <xf numFmtId="0" fontId="50" fillId="7" borderId="22" xfId="0" applyNumberFormat="1" applyFont="1" applyFill="1" applyBorder="1" applyAlignment="1" applyProtection="1">
      <alignment horizontal="left" vertical="top" wrapText="1"/>
      <protection locked="0"/>
    </xf>
    <xf numFmtId="0" fontId="50" fillId="7" borderId="23" xfId="0" applyNumberFormat="1" applyFont="1" applyFill="1" applyBorder="1" applyAlignment="1" applyProtection="1">
      <alignment horizontal="left" vertical="top" wrapText="1"/>
      <protection locked="0"/>
    </xf>
    <xf numFmtId="0" fontId="50" fillId="7" borderId="0" xfId="0" applyNumberFormat="1" applyFont="1" applyFill="1" applyAlignment="1" applyProtection="1">
      <alignment horizontal="left" vertical="top" wrapText="1"/>
      <protection locked="0"/>
    </xf>
    <xf numFmtId="0" fontId="50" fillId="7" borderId="19" xfId="0" applyNumberFormat="1" applyFont="1" applyFill="1" applyBorder="1" applyAlignment="1" applyProtection="1">
      <alignment horizontal="left" vertical="top" wrapText="1"/>
      <protection locked="0"/>
    </xf>
    <xf numFmtId="0" fontId="50" fillId="7" borderId="26" xfId="0" applyNumberFormat="1" applyFont="1" applyFill="1" applyBorder="1" applyAlignment="1" applyProtection="1">
      <alignment horizontal="left" vertical="top" wrapText="1"/>
      <protection locked="0"/>
    </xf>
    <xf numFmtId="0" fontId="50" fillId="7" borderId="12" xfId="0" applyNumberFormat="1" applyFont="1" applyFill="1" applyBorder="1" applyAlignment="1" applyProtection="1">
      <alignment horizontal="left" vertical="top" wrapText="1"/>
      <protection locked="0"/>
    </xf>
    <xf numFmtId="0" fontId="50" fillId="7" borderId="13" xfId="0" applyNumberFormat="1" applyFont="1" applyFill="1" applyBorder="1" applyAlignment="1" applyProtection="1">
      <alignment horizontal="left" vertical="top" wrapText="1"/>
      <protection locked="0"/>
    </xf>
    <xf numFmtId="164" fontId="13" fillId="4" borderId="11" xfId="0" applyFont="1" applyFill="1" applyBorder="1" applyAlignment="1">
      <alignment horizontal="center" vertical="center"/>
    </xf>
    <xf numFmtId="164" fontId="13" fillId="4" borderId="22" xfId="0" applyFont="1" applyFill="1" applyBorder="1" applyAlignment="1">
      <alignment horizontal="center" vertical="center"/>
    </xf>
    <xf numFmtId="164" fontId="13" fillId="0" borderId="23" xfId="0" applyFont="1" applyBorder="1" applyAlignment="1">
      <alignment horizontal="right"/>
    </xf>
    <xf numFmtId="164" fontId="13" fillId="0" borderId="0" xfId="0" applyFont="1" applyAlignment="1">
      <alignment horizontal="right"/>
    </xf>
    <xf numFmtId="164" fontId="69" fillId="18" borderId="0" xfId="0" applyFont="1" applyFill="1" applyAlignment="1">
      <alignment horizontal="center" vertical="top"/>
    </xf>
    <xf numFmtId="3" fontId="13" fillId="13" borderId="11" xfId="0" applyNumberFormat="1" applyFont="1" applyFill="1" applyBorder="1" applyAlignment="1">
      <alignment horizontal="center"/>
    </xf>
    <xf numFmtId="164" fontId="59" fillId="18" borderId="16" xfId="0" applyFont="1" applyFill="1" applyBorder="1" applyAlignment="1">
      <alignment horizontal="center"/>
    </xf>
    <xf numFmtId="164" fontId="20" fillId="10" borderId="0" xfId="0" applyFont="1" applyFill="1" applyAlignment="1">
      <alignment horizontal="center" wrapText="1"/>
    </xf>
    <xf numFmtId="164" fontId="20" fillId="10" borderId="108" xfId="0" applyFont="1" applyFill="1" applyBorder="1" applyAlignment="1">
      <alignment horizontal="center" wrapText="1"/>
    </xf>
    <xf numFmtId="164" fontId="30" fillId="10" borderId="0" xfId="0" applyFont="1" applyFill="1" applyAlignment="1">
      <alignment horizontal="center" vertical="center"/>
    </xf>
    <xf numFmtId="164" fontId="30" fillId="10" borderId="108" xfId="0" applyFont="1" applyFill="1" applyBorder="1" applyAlignment="1">
      <alignment horizontal="center" vertical="center"/>
    </xf>
    <xf numFmtId="164" fontId="13" fillId="0" borderId="19" xfId="0" applyFont="1" applyBorder="1" applyAlignment="1">
      <alignment horizontal="right"/>
    </xf>
    <xf numFmtId="164" fontId="68" fillId="9" borderId="74" xfId="0" applyFont="1" applyFill="1" applyBorder="1" applyAlignment="1">
      <alignment horizontal="left" vertical="center" wrapText="1"/>
    </xf>
    <xf numFmtId="164" fontId="68" fillId="9" borderId="75" xfId="0" applyFont="1" applyFill="1" applyBorder="1" applyAlignment="1">
      <alignment horizontal="left" vertical="center" wrapText="1"/>
    </xf>
    <xf numFmtId="164" fontId="93" fillId="0" borderId="8" xfId="0" applyFont="1" applyBorder="1" applyAlignment="1">
      <alignment horizontal="right"/>
    </xf>
    <xf numFmtId="164" fontId="93" fillId="0" borderId="9" xfId="0" applyFont="1" applyBorder="1" applyAlignment="1">
      <alignment horizontal="right"/>
    </xf>
    <xf numFmtId="164" fontId="30" fillId="10" borderId="8" xfId="0" applyFont="1" applyFill="1" applyBorder="1" applyAlignment="1">
      <alignment horizontal="center" vertical="center"/>
    </xf>
    <xf numFmtId="164" fontId="30" fillId="10" borderId="9" xfId="0" applyFont="1" applyFill="1" applyBorder="1" applyAlignment="1">
      <alignment horizontal="center" vertical="center"/>
    </xf>
    <xf numFmtId="164" fontId="30" fillId="10" borderId="10" xfId="0" applyFont="1" applyFill="1" applyBorder="1" applyAlignment="1">
      <alignment horizontal="center" vertical="center"/>
    </xf>
    <xf numFmtId="164" fontId="13" fillId="10" borderId="8" xfId="0" applyFont="1" applyFill="1" applyBorder="1" applyAlignment="1">
      <alignment horizontal="center"/>
    </xf>
    <xf numFmtId="164" fontId="13" fillId="10" borderId="9" xfId="0" applyFont="1" applyFill="1" applyBorder="1" applyAlignment="1">
      <alignment horizontal="center"/>
    </xf>
    <xf numFmtId="164" fontId="13" fillId="10" borderId="10" xfId="0" applyFont="1" applyFill="1" applyBorder="1" applyAlignment="1">
      <alignment horizontal="center"/>
    </xf>
    <xf numFmtId="164" fontId="53" fillId="0" borderId="0" xfId="0" applyFont="1" applyAlignment="1">
      <alignment horizontal="right"/>
    </xf>
    <xf numFmtId="164" fontId="53" fillId="0" borderId="12" xfId="0" applyFont="1" applyBorder="1" applyAlignment="1">
      <alignment horizontal="right"/>
    </xf>
    <xf numFmtId="164" fontId="53" fillId="0" borderId="13" xfId="0" applyFont="1" applyBorder="1" applyAlignment="1">
      <alignment horizontal="right"/>
    </xf>
    <xf numFmtId="164" fontId="13" fillId="0" borderId="23" xfId="0" applyFont="1" applyBorder="1" applyAlignment="1">
      <alignment horizontal="right" vertical="center"/>
    </xf>
    <xf numFmtId="164" fontId="13" fillId="0" borderId="0" xfId="0" applyFont="1" applyAlignment="1">
      <alignment horizontal="right" vertical="center"/>
    </xf>
    <xf numFmtId="3" fontId="13" fillId="0" borderId="0" xfId="0" applyNumberFormat="1" applyFont="1" applyAlignment="1">
      <alignment horizontal="right"/>
    </xf>
    <xf numFmtId="164" fontId="54" fillId="0" borderId="11" xfId="0" applyFont="1" applyBorder="1" applyAlignment="1">
      <alignment horizontal="center"/>
    </xf>
    <xf numFmtId="164" fontId="54" fillId="0" borderId="0" xfId="0" applyFont="1" applyAlignment="1">
      <alignment horizontal="center"/>
    </xf>
    <xf numFmtId="164" fontId="53" fillId="8" borderId="8" xfId="0" applyFont="1" applyFill="1" applyBorder="1" applyAlignment="1">
      <alignment horizontal="right"/>
    </xf>
    <xf numFmtId="164" fontId="53" fillId="8" borderId="9" xfId="0" applyFont="1" applyFill="1" applyBorder="1" applyAlignment="1">
      <alignment horizontal="right"/>
    </xf>
    <xf numFmtId="164" fontId="53" fillId="8" borderId="8" xfId="0" applyFont="1" applyFill="1" applyBorder="1" applyAlignment="1" applyProtection="1">
      <alignment horizontal="right"/>
      <protection locked="0"/>
    </xf>
    <xf numFmtId="164" fontId="53" fillId="8" borderId="9" xfId="0" applyFont="1" applyFill="1" applyBorder="1" applyAlignment="1" applyProtection="1">
      <alignment horizontal="right"/>
      <protection locked="0"/>
    </xf>
    <xf numFmtId="164" fontId="49" fillId="0" borderId="0" xfId="0" applyFont="1" applyAlignment="1">
      <alignment horizontal="center"/>
    </xf>
    <xf numFmtId="164" fontId="40" fillId="0" borderId="1" xfId="0" applyFont="1" applyBorder="1" applyAlignment="1">
      <alignment horizontal="center" vertical="center" wrapText="1"/>
    </xf>
    <xf numFmtId="164" fontId="16" fillId="7" borderId="1" xfId="0" applyFont="1" applyFill="1" applyBorder="1" applyAlignment="1" applyProtection="1">
      <alignment horizontal="center" vertical="center"/>
      <protection locked="0"/>
    </xf>
    <xf numFmtId="164" fontId="13" fillId="6" borderId="1" xfId="0" applyFont="1" applyFill="1" applyBorder="1" applyAlignment="1">
      <alignment horizontal="left" vertical="center"/>
    </xf>
    <xf numFmtId="164" fontId="13" fillId="6" borderId="8" xfId="0" applyFont="1" applyFill="1" applyBorder="1" applyAlignment="1">
      <alignment horizontal="left" vertical="center"/>
    </xf>
    <xf numFmtId="164" fontId="16" fillId="7" borderId="1" xfId="0" applyFont="1" applyFill="1" applyBorder="1" applyAlignment="1" applyProtection="1">
      <alignment horizontal="left"/>
      <protection locked="0"/>
    </xf>
    <xf numFmtId="174" fontId="16" fillId="0" borderId="1" xfId="10" applyNumberFormat="1" applyFont="1" applyBorder="1" applyAlignment="1">
      <alignment horizontal="center"/>
    </xf>
    <xf numFmtId="2" fontId="16" fillId="0" borderId="1" xfId="9" applyNumberFormat="1" applyFont="1" applyBorder="1" applyAlignment="1">
      <alignment horizontal="center"/>
    </xf>
    <xf numFmtId="164" fontId="35" fillId="6" borderId="11" xfId="0" applyFont="1" applyFill="1" applyBorder="1" applyAlignment="1">
      <alignment horizontal="center" vertical="center" wrapText="1"/>
    </xf>
    <xf numFmtId="168" fontId="16" fillId="0" borderId="8" xfId="0" applyNumberFormat="1" applyFont="1" applyBorder="1" applyAlignment="1">
      <alignment horizontal="center" wrapText="1"/>
    </xf>
    <xf numFmtId="168" fontId="16" fillId="0" borderId="10" xfId="0" applyNumberFormat="1" applyFont="1" applyBorder="1" applyAlignment="1">
      <alignment horizontal="center" wrapText="1"/>
    </xf>
    <xf numFmtId="164" fontId="16" fillId="0" borderId="8" xfId="0" applyFont="1" applyBorder="1" applyAlignment="1">
      <alignment horizontal="center"/>
    </xf>
    <xf numFmtId="164" fontId="16" fillId="0" borderId="10" xfId="0" applyFont="1" applyBorder="1" applyAlignment="1">
      <alignment horizontal="center"/>
    </xf>
    <xf numFmtId="164" fontId="35" fillId="6" borderId="1" xfId="0" applyFont="1" applyFill="1" applyBorder="1" applyAlignment="1">
      <alignment horizontal="center"/>
    </xf>
    <xf numFmtId="164" fontId="16" fillId="7" borderId="2" xfId="0" applyFont="1" applyFill="1" applyBorder="1" applyAlignment="1">
      <alignment horizontal="center" wrapText="1"/>
    </xf>
    <xf numFmtId="164" fontId="16" fillId="0" borderId="2" xfId="0" applyFont="1" applyBorder="1" applyAlignment="1">
      <alignment horizontal="left" wrapText="1"/>
    </xf>
    <xf numFmtId="164" fontId="35" fillId="5" borderId="2" xfId="0" applyFont="1" applyFill="1" applyBorder="1" applyAlignment="1">
      <alignment horizontal="center"/>
    </xf>
    <xf numFmtId="164" fontId="13" fillId="11" borderId="0" xfId="0" applyFont="1" applyFill="1" applyAlignment="1">
      <alignment horizontal="left"/>
    </xf>
    <xf numFmtId="164" fontId="16" fillId="7" borderId="0" xfId="0" applyFont="1" applyFill="1" applyAlignment="1" applyProtection="1">
      <alignment horizontal="left" vertical="center" wrapText="1"/>
      <protection locked="0"/>
    </xf>
    <xf numFmtId="164" fontId="16" fillId="0" borderId="0" xfId="0" applyFont="1" applyAlignment="1">
      <alignment horizontal="left" vertical="center"/>
    </xf>
    <xf numFmtId="164" fontId="16" fillId="0" borderId="0" xfId="0" applyFont="1" applyAlignment="1">
      <alignment horizontal="left" vertical="center" wrapText="1"/>
    </xf>
    <xf numFmtId="164" fontId="16" fillId="0" borderId="0" xfId="0" applyFont="1" applyAlignment="1">
      <alignment horizontal="left" vertical="top" wrapText="1"/>
    </xf>
    <xf numFmtId="164" fontId="16" fillId="7" borderId="2" xfId="0" applyFont="1" applyFill="1" applyBorder="1" applyAlignment="1">
      <alignment horizontal="left" vertical="top" wrapText="1"/>
    </xf>
    <xf numFmtId="164" fontId="35" fillId="6" borderId="24" xfId="0" applyFont="1" applyFill="1" applyBorder="1" applyAlignment="1">
      <alignment horizontal="center"/>
    </xf>
    <xf numFmtId="164" fontId="35" fillId="6" borderId="11" xfId="0" applyFont="1" applyFill="1" applyBorder="1" applyAlignment="1">
      <alignment horizontal="center"/>
    </xf>
    <xf numFmtId="164" fontId="35" fillId="6" borderId="22" xfId="0" applyFont="1" applyFill="1" applyBorder="1" applyAlignment="1">
      <alignment horizontal="center"/>
    </xf>
    <xf numFmtId="164" fontId="35" fillId="6" borderId="8" xfId="0" applyFont="1" applyFill="1" applyBorder="1" applyAlignment="1">
      <alignment horizontal="center"/>
    </xf>
    <xf numFmtId="164" fontId="35" fillId="6" borderId="9" xfId="0" applyFont="1" applyFill="1" applyBorder="1" applyAlignment="1">
      <alignment horizontal="center"/>
    </xf>
    <xf numFmtId="164" fontId="35" fillId="6" borderId="10" xfId="0" applyFont="1" applyFill="1" applyBorder="1" applyAlignment="1">
      <alignment horizontal="center"/>
    </xf>
    <xf numFmtId="164" fontId="35" fillId="0" borderId="0" xfId="0" applyFont="1" applyAlignment="1">
      <alignment horizontal="center" vertical="center" wrapText="1"/>
    </xf>
    <xf numFmtId="164" fontId="35" fillId="0" borderId="0" xfId="0" applyFont="1" applyAlignment="1">
      <alignment horizontal="center" vertical="center"/>
    </xf>
    <xf numFmtId="164" fontId="16" fillId="7" borderId="1" xfId="0" applyFont="1" applyFill="1" applyBorder="1" applyAlignment="1" applyProtection="1">
      <alignment horizontal="center" vertical="center" wrapText="1"/>
      <protection locked="0"/>
    </xf>
    <xf numFmtId="164" fontId="127" fillId="0" borderId="0" xfId="0" applyFont="1" applyAlignment="1">
      <alignment horizontal="center" vertical="center"/>
    </xf>
    <xf numFmtId="164" fontId="16" fillId="6" borderId="0" xfId="0" applyFont="1" applyFill="1" applyAlignment="1">
      <alignment horizontal="left" vertical="center" wrapText="1"/>
    </xf>
    <xf numFmtId="164" fontId="35" fillId="0" borderId="0" xfId="0" applyFont="1" applyAlignment="1">
      <alignment horizontal="center"/>
    </xf>
    <xf numFmtId="164" fontId="35" fillId="5" borderId="0" xfId="0" applyFont="1" applyFill="1" applyAlignment="1">
      <alignment horizontal="center"/>
    </xf>
    <xf numFmtId="164" fontId="35" fillId="9" borderId="8" xfId="0" applyFont="1" applyFill="1" applyBorder="1" applyAlignment="1">
      <alignment horizontal="left"/>
    </xf>
    <xf numFmtId="164" fontId="35" fillId="9" borderId="9" xfId="0" applyFont="1" applyFill="1" applyBorder="1" applyAlignment="1">
      <alignment horizontal="left"/>
    </xf>
    <xf numFmtId="164" fontId="35" fillId="9" borderId="10" xfId="0" applyFont="1" applyFill="1" applyBorder="1" applyAlignment="1">
      <alignment horizontal="left"/>
    </xf>
    <xf numFmtId="164" fontId="16" fillId="7" borderId="1" xfId="0" applyFont="1" applyFill="1" applyBorder="1" applyAlignment="1" applyProtection="1">
      <alignment horizontal="center"/>
      <protection locked="0"/>
    </xf>
    <xf numFmtId="164" fontId="16" fillId="6" borderId="1" xfId="0" applyFont="1" applyFill="1" applyBorder="1" applyAlignment="1">
      <alignment horizontal="center"/>
    </xf>
    <xf numFmtId="164" fontId="13" fillId="9" borderId="0" xfId="0" applyFont="1" applyFill="1" applyAlignment="1">
      <alignment horizontal="left"/>
    </xf>
    <xf numFmtId="164" fontId="35" fillId="0" borderId="14" xfId="0" applyFont="1" applyBorder="1" applyAlignment="1">
      <alignment horizontal="left" vertical="center" wrapText="1"/>
    </xf>
    <xf numFmtId="164" fontId="35" fillId="0" borderId="0" xfId="0" applyFont="1" applyAlignment="1">
      <alignment horizontal="left" vertical="center" wrapText="1"/>
    </xf>
    <xf numFmtId="164" fontId="16" fillId="7" borderId="0" xfId="0" applyFont="1" applyFill="1" applyAlignment="1" applyProtection="1">
      <alignment horizontal="left"/>
      <protection locked="0"/>
    </xf>
    <xf numFmtId="164" fontId="40" fillId="0" borderId="9" xfId="0" applyFont="1" applyBorder="1" applyAlignment="1">
      <alignment horizontal="center" vertical="center"/>
    </xf>
    <xf numFmtId="164" fontId="40" fillId="0" borderId="0" xfId="0" applyFont="1" applyAlignment="1">
      <alignment horizontal="center" vertical="center"/>
    </xf>
    <xf numFmtId="164" fontId="40" fillId="0" borderId="9" xfId="0" applyFont="1" applyBorder="1" applyAlignment="1">
      <alignment horizontal="center" vertical="center" wrapText="1"/>
    </xf>
    <xf numFmtId="164" fontId="40" fillId="0" borderId="9" xfId="0" applyFont="1" applyBorder="1" applyAlignment="1">
      <alignment horizontal="center" wrapText="1"/>
    </xf>
    <xf numFmtId="164" fontId="16" fillId="0" borderId="0" xfId="0" applyFont="1" applyAlignment="1">
      <alignment horizontal="left" wrapText="1"/>
    </xf>
    <xf numFmtId="164" fontId="16" fillId="0" borderId="0" xfId="0" quotePrefix="1" applyFont="1" applyAlignment="1">
      <alignment horizontal="left" wrapText="1"/>
    </xf>
    <xf numFmtId="164" fontId="16" fillId="0" borderId="11" xfId="0" applyFont="1" applyBorder="1" applyAlignment="1">
      <alignment horizontal="center"/>
    </xf>
    <xf numFmtId="164" fontId="16" fillId="0" borderId="11" xfId="0" applyFont="1" applyBorder="1" applyAlignment="1">
      <alignment horizontal="left"/>
    </xf>
    <xf numFmtId="164" fontId="16" fillId="0" borderId="1" xfId="0" applyFont="1" applyBorder="1" applyAlignment="1">
      <alignment horizontal="left"/>
    </xf>
    <xf numFmtId="164" fontId="35" fillId="6" borderId="8" xfId="0" applyFont="1" applyFill="1" applyBorder="1" applyAlignment="1">
      <alignment horizontal="left"/>
    </xf>
    <xf numFmtId="164" fontId="35" fillId="6" borderId="9" xfId="0" applyFont="1" applyFill="1" applyBorder="1" applyAlignment="1">
      <alignment horizontal="left"/>
    </xf>
    <xf numFmtId="164" fontId="35" fillId="5" borderId="2" xfId="0" applyFont="1" applyFill="1" applyBorder="1" applyAlignment="1">
      <alignment horizontal="left"/>
    </xf>
    <xf numFmtId="164" fontId="16" fillId="6" borderId="1" xfId="0" applyFont="1" applyFill="1" applyBorder="1" applyAlignment="1">
      <alignment horizontal="center" wrapText="1"/>
    </xf>
    <xf numFmtId="164" fontId="35" fillId="5" borderId="0" xfId="0" applyFont="1" applyFill="1" applyAlignment="1">
      <alignment horizontal="center" wrapText="1"/>
    </xf>
    <xf numFmtId="164" fontId="14" fillId="9" borderId="0" xfId="0" applyFont="1" applyFill="1" applyAlignment="1">
      <alignment horizontal="left"/>
    </xf>
    <xf numFmtId="164" fontId="37" fillId="0" borderId="14" xfId="0" applyFont="1" applyBorder="1" applyAlignment="1">
      <alignment horizontal="left" vertical="center" wrapText="1"/>
    </xf>
    <xf numFmtId="164" fontId="37" fillId="0" borderId="0" xfId="0" applyFont="1" applyAlignment="1">
      <alignment horizontal="left" vertical="center" wrapText="1"/>
    </xf>
    <xf numFmtId="164" fontId="16" fillId="0" borderId="0" xfId="0" applyFont="1" applyAlignment="1">
      <alignment horizontal="left"/>
    </xf>
    <xf numFmtId="164" fontId="16" fillId="0" borderId="9" xfId="0" applyFont="1" applyBorder="1" applyAlignment="1">
      <alignment horizontal="center"/>
    </xf>
    <xf numFmtId="164" fontId="13" fillId="2" borderId="0" xfId="0" applyFont="1" applyFill="1" applyAlignment="1">
      <alignment horizontal="right" vertical="center"/>
    </xf>
    <xf numFmtId="0" fontId="6" fillId="0" borderId="0" xfId="11" applyAlignment="1">
      <alignment horizontal="left"/>
    </xf>
    <xf numFmtId="164" fontId="35" fillId="6" borderId="26" xfId="0" applyFont="1" applyFill="1" applyBorder="1" applyAlignment="1">
      <alignment horizontal="center"/>
    </xf>
    <xf numFmtId="164" fontId="35" fillId="6" borderId="12" xfId="0" applyFont="1" applyFill="1" applyBorder="1" applyAlignment="1">
      <alignment horizontal="center"/>
    </xf>
    <xf numFmtId="164" fontId="35" fillId="6" borderId="13" xfId="0" applyFont="1" applyFill="1" applyBorder="1" applyAlignment="1">
      <alignment horizontal="center"/>
    </xf>
    <xf numFmtId="164" fontId="16" fillId="7" borderId="0" xfId="0" applyFont="1" applyFill="1" applyAlignment="1" applyProtection="1">
      <alignment horizontal="left" wrapText="1"/>
      <protection locked="0"/>
    </xf>
    <xf numFmtId="164" fontId="35" fillId="6" borderId="2" xfId="0" applyFont="1" applyFill="1" applyBorder="1" applyAlignment="1">
      <alignment horizontal="center"/>
    </xf>
    <xf numFmtId="164" fontId="13" fillId="2" borderId="23" xfId="0" applyFont="1" applyFill="1" applyBorder="1" applyAlignment="1">
      <alignment horizontal="left" vertical="center"/>
    </xf>
    <xf numFmtId="164" fontId="13" fillId="2" borderId="0" xfId="0" applyFont="1" applyFill="1" applyAlignment="1">
      <alignment horizontal="left" vertical="center"/>
    </xf>
    <xf numFmtId="164" fontId="20" fillId="7" borderId="12" xfId="0" applyFont="1" applyFill="1" applyBorder="1" applyAlignment="1" applyProtection="1">
      <alignment horizontal="center" vertical="center"/>
      <protection locked="0"/>
    </xf>
    <xf numFmtId="164" fontId="20" fillId="2" borderId="12" xfId="0" applyFont="1" applyFill="1" applyBorder="1" applyAlignment="1">
      <alignment horizontal="center"/>
    </xf>
    <xf numFmtId="164" fontId="13" fillId="7" borderId="12" xfId="0" applyFont="1" applyFill="1" applyBorder="1" applyAlignment="1" applyProtection="1">
      <alignment horizontal="center" vertical="center"/>
      <protection locked="0"/>
    </xf>
    <xf numFmtId="164" fontId="13" fillId="2" borderId="12" xfId="0" applyFont="1" applyFill="1" applyBorder="1" applyAlignment="1">
      <alignment horizontal="center" vertical="center"/>
    </xf>
    <xf numFmtId="164" fontId="16" fillId="0" borderId="0" xfId="0" applyFont="1" applyAlignment="1">
      <alignment horizontal="center"/>
    </xf>
    <xf numFmtId="164" fontId="15" fillId="9" borderId="0" xfId="0" applyFont="1" applyFill="1" applyAlignment="1">
      <alignment horizontal="left"/>
    </xf>
    <xf numFmtId="14" fontId="20" fillId="7" borderId="12" xfId="0" applyNumberFormat="1" applyFont="1" applyFill="1" applyBorder="1" applyAlignment="1" applyProtection="1">
      <alignment horizontal="center" vertical="center"/>
      <protection locked="0"/>
    </xf>
    <xf numFmtId="176" fontId="20" fillId="7" borderId="12" xfId="0" applyNumberFormat="1" applyFont="1" applyFill="1" applyBorder="1" applyAlignment="1" applyProtection="1">
      <alignment horizontal="center" vertical="center"/>
      <protection locked="0"/>
    </xf>
    <xf numFmtId="164" fontId="35" fillId="7" borderId="26" xfId="0" applyFont="1" applyFill="1" applyBorder="1" applyAlignment="1" applyProtection="1">
      <alignment horizontal="center"/>
      <protection locked="0"/>
    </xf>
    <xf numFmtId="164" fontId="35" fillId="7" borderId="12" xfId="0" applyFont="1" applyFill="1" applyBorder="1" applyAlignment="1" applyProtection="1">
      <alignment horizontal="center"/>
      <protection locked="0"/>
    </xf>
    <xf numFmtId="164" fontId="35" fillId="7" borderId="13" xfId="0" applyFont="1" applyFill="1" applyBorder="1" applyAlignment="1" applyProtection="1">
      <alignment horizontal="center"/>
      <protection locked="0"/>
    </xf>
    <xf numFmtId="164" fontId="16" fillId="0" borderId="8" xfId="0" applyFont="1" applyBorder="1" applyAlignment="1">
      <alignment horizontal="center" wrapText="1"/>
    </xf>
    <xf numFmtId="164" fontId="16" fillId="0" borderId="10" xfId="0" applyFont="1" applyBorder="1" applyAlignment="1">
      <alignment horizontal="center" wrapText="1"/>
    </xf>
    <xf numFmtId="164" fontId="35" fillId="0" borderId="8" xfId="0" applyFont="1" applyBorder="1" applyAlignment="1">
      <alignment horizontal="right"/>
    </xf>
    <xf numFmtId="164" fontId="35" fillId="0" borderId="9" xfId="0" applyFont="1" applyBorder="1" applyAlignment="1">
      <alignment horizontal="right"/>
    </xf>
    <xf numFmtId="164" fontId="35" fillId="0" borderId="10" xfId="0" applyFont="1" applyBorder="1" applyAlignment="1">
      <alignment horizontal="right"/>
    </xf>
    <xf numFmtId="164" fontId="35" fillId="6" borderId="1" xfId="0" applyFont="1" applyFill="1" applyBorder="1" applyAlignment="1">
      <alignment horizontal="left"/>
    </xf>
    <xf numFmtId="164" fontId="16" fillId="0" borderId="1" xfId="0" applyFont="1" applyBorder="1" applyAlignment="1" applyProtection="1">
      <alignment horizontal="left"/>
      <protection locked="0"/>
    </xf>
    <xf numFmtId="164" fontId="16" fillId="0" borderId="1" xfId="0" applyFont="1" applyBorder="1" applyAlignment="1" applyProtection="1">
      <alignment horizontal="center"/>
      <protection locked="0"/>
    </xf>
    <xf numFmtId="164" fontId="16" fillId="0" borderId="8" xfId="0" applyFont="1" applyBorder="1" applyAlignment="1" applyProtection="1">
      <alignment horizontal="center"/>
      <protection locked="0"/>
    </xf>
    <xf numFmtId="164" fontId="16" fillId="0" borderId="9" xfId="0" applyFont="1" applyBorder="1" applyAlignment="1" applyProtection="1">
      <alignment horizontal="center"/>
      <protection locked="0"/>
    </xf>
    <xf numFmtId="164" fontId="16" fillId="0" borderId="10" xfId="0" applyFont="1" applyBorder="1" applyAlignment="1" applyProtection="1">
      <alignment horizontal="center"/>
      <protection locked="0"/>
    </xf>
    <xf numFmtId="164" fontId="13" fillId="0" borderId="12" xfId="0" applyFont="1" applyBorder="1" applyAlignment="1" applyProtection="1">
      <alignment horizontal="center"/>
      <protection locked="0"/>
    </xf>
    <xf numFmtId="164" fontId="35" fillId="17" borderId="8" xfId="0" applyFont="1" applyFill="1" applyBorder="1" applyAlignment="1" applyProtection="1">
      <alignment horizontal="left"/>
      <protection locked="0"/>
    </xf>
    <xf numFmtId="164" fontId="35" fillId="17" borderId="9" xfId="0" applyFont="1" applyFill="1" applyBorder="1" applyAlignment="1" applyProtection="1">
      <alignment horizontal="left"/>
      <protection locked="0"/>
    </xf>
    <xf numFmtId="164" fontId="35" fillId="17" borderId="10" xfId="0" applyFont="1" applyFill="1" applyBorder="1" applyAlignment="1" applyProtection="1">
      <alignment horizontal="left"/>
      <protection locked="0"/>
    </xf>
    <xf numFmtId="164" fontId="35" fillId="17" borderId="8" xfId="0" applyFont="1" applyFill="1" applyBorder="1" applyAlignment="1" applyProtection="1">
      <alignment horizontal="center"/>
      <protection locked="0"/>
    </xf>
    <xf numFmtId="164" fontId="35" fillId="17" borderId="9" xfId="0" applyFont="1" applyFill="1" applyBorder="1" applyAlignment="1" applyProtection="1">
      <alignment horizontal="center"/>
      <protection locked="0"/>
    </xf>
    <xf numFmtId="164" fontId="35" fillId="17" borderId="10" xfId="0" applyFont="1" applyFill="1" applyBorder="1" applyAlignment="1" applyProtection="1">
      <alignment horizontal="center"/>
      <protection locked="0"/>
    </xf>
    <xf numFmtId="164" fontId="35" fillId="17" borderId="1" xfId="0" applyFont="1" applyFill="1" applyBorder="1" applyAlignment="1" applyProtection="1">
      <alignment horizontal="center"/>
      <protection locked="0"/>
    </xf>
    <xf numFmtId="164" fontId="35" fillId="17" borderId="1" xfId="0" applyFont="1" applyFill="1" applyBorder="1" applyAlignment="1" applyProtection="1">
      <alignment horizontal="left"/>
      <protection locked="0"/>
    </xf>
    <xf numFmtId="164" fontId="13" fillId="0" borderId="0" xfId="0" applyFont="1" applyAlignment="1" applyProtection="1">
      <alignment horizontal="center" vertical="top"/>
      <protection locked="0"/>
    </xf>
    <xf numFmtId="164" fontId="35" fillId="0" borderId="1" xfId="0" applyFont="1" applyBorder="1" applyAlignment="1" applyProtection="1">
      <alignment horizontal="center"/>
      <protection locked="0"/>
    </xf>
    <xf numFmtId="164" fontId="65" fillId="0" borderId="1" xfId="0" applyFont="1" applyBorder="1" applyAlignment="1" applyProtection="1">
      <alignment horizontal="center" wrapText="1"/>
      <protection locked="0"/>
    </xf>
    <xf numFmtId="164" fontId="65" fillId="17" borderId="1" xfId="0" applyFont="1" applyFill="1" applyBorder="1" applyAlignment="1" applyProtection="1">
      <alignment horizontal="center"/>
      <protection locked="0"/>
    </xf>
    <xf numFmtId="164" fontId="65" fillId="0" borderId="1" xfId="0" applyFont="1" applyBorder="1" applyAlignment="1" applyProtection="1">
      <alignment horizontal="center"/>
      <protection locked="0"/>
    </xf>
    <xf numFmtId="164" fontId="16" fillId="9" borderId="7" xfId="0" applyFont="1" applyFill="1" applyBorder="1" applyAlignment="1">
      <alignment horizontal="center"/>
    </xf>
    <xf numFmtId="164" fontId="16" fillId="9" borderId="2" xfId="0" applyFont="1" applyFill="1" applyBorder="1" applyAlignment="1">
      <alignment horizontal="center"/>
    </xf>
    <xf numFmtId="164" fontId="16" fillId="9" borderId="1" xfId="0" applyFont="1" applyFill="1" applyBorder="1" applyAlignment="1">
      <alignment horizontal="center"/>
    </xf>
    <xf numFmtId="164" fontId="30" fillId="0" borderId="0" xfId="0" applyFont="1" applyAlignment="1">
      <alignment horizontal="center"/>
    </xf>
    <xf numFmtId="164" fontId="30" fillId="0" borderId="12" xfId="0" applyFont="1" applyBorder="1" applyAlignment="1" applyProtection="1">
      <alignment horizontal="center"/>
      <protection locked="0"/>
    </xf>
    <xf numFmtId="164" fontId="30" fillId="0" borderId="9" xfId="0" applyFont="1" applyBorder="1" applyAlignment="1" applyProtection="1">
      <alignment horizontal="center"/>
      <protection locked="0"/>
    </xf>
    <xf numFmtId="164" fontId="35" fillId="31" borderId="81" xfId="0" applyFont="1" applyFill="1" applyBorder="1" applyAlignment="1">
      <alignment horizontal="center"/>
    </xf>
    <xf numFmtId="164" fontId="35" fillId="31" borderId="82" xfId="0" applyFont="1" applyFill="1" applyBorder="1" applyAlignment="1">
      <alignment horizontal="center"/>
    </xf>
    <xf numFmtId="164" fontId="35" fillId="31" borderId="83" xfId="0" applyFont="1" applyFill="1" applyBorder="1" applyAlignment="1">
      <alignment horizontal="center"/>
    </xf>
    <xf numFmtId="164" fontId="65" fillId="30" borderId="81" xfId="0" applyFont="1" applyFill="1" applyBorder="1" applyAlignment="1">
      <alignment horizontal="center"/>
    </xf>
    <xf numFmtId="164" fontId="65" fillId="30" borderId="197" xfId="0" applyFont="1" applyFill="1" applyBorder="1" applyAlignment="1">
      <alignment horizontal="center"/>
    </xf>
    <xf numFmtId="164" fontId="135" fillId="0" borderId="81" xfId="0" applyFont="1" applyBorder="1" applyAlignment="1">
      <alignment horizontal="left"/>
    </xf>
    <xf numFmtId="164" fontId="135" fillId="0" borderId="82" xfId="0" applyFont="1" applyBorder="1" applyAlignment="1">
      <alignment horizontal="left"/>
    </xf>
    <xf numFmtId="164" fontId="135" fillId="0" borderId="83" xfId="0" applyFont="1" applyBorder="1" applyAlignment="1">
      <alignment horizontal="left"/>
    </xf>
    <xf numFmtId="164" fontId="16" fillId="0" borderId="206" xfId="0" applyFont="1" applyBorder="1" applyAlignment="1">
      <alignment horizontal="left"/>
    </xf>
    <xf numFmtId="164" fontId="16" fillId="0" borderId="205" xfId="0" applyFont="1" applyBorder="1" applyAlignment="1">
      <alignment horizontal="left"/>
    </xf>
    <xf numFmtId="164" fontId="16" fillId="0" borderId="204" xfId="0" applyFont="1" applyBorder="1" applyAlignment="1">
      <alignment horizontal="left"/>
    </xf>
    <xf numFmtId="1" fontId="16" fillId="27" borderId="209" xfId="0" applyNumberFormat="1" applyFont="1" applyFill="1" applyBorder="1" applyAlignment="1">
      <alignment horizontal="center"/>
    </xf>
    <xf numFmtId="1" fontId="16" fillId="27" borderId="151" xfId="0" applyNumberFormat="1" applyFont="1" applyFill="1" applyBorder="1" applyAlignment="1">
      <alignment horizontal="center"/>
    </xf>
    <xf numFmtId="1" fontId="16" fillId="27" borderId="210" xfId="0" applyNumberFormat="1" applyFont="1" applyFill="1" applyBorder="1" applyAlignment="1">
      <alignment horizontal="center"/>
    </xf>
    <xf numFmtId="1" fontId="16" fillId="27" borderId="153" xfId="0" applyNumberFormat="1" applyFont="1" applyFill="1" applyBorder="1" applyAlignment="1">
      <alignment horizontal="center"/>
    </xf>
    <xf numFmtId="164" fontId="16" fillId="0" borderId="203" xfId="0" applyFont="1" applyBorder="1" applyAlignment="1">
      <alignment horizontal="left"/>
    </xf>
    <xf numFmtId="164" fontId="16" fillId="0" borderId="200" xfId="0" applyFont="1" applyBorder="1" applyAlignment="1">
      <alignment horizontal="left"/>
    </xf>
    <xf numFmtId="164" fontId="134" fillId="0" borderId="202" xfId="0" applyFont="1" applyBorder="1" applyAlignment="1">
      <alignment horizontal="right" wrapText="1"/>
    </xf>
    <xf numFmtId="164" fontId="134" fillId="0" borderId="155" xfId="0" applyFont="1" applyBorder="1" applyAlignment="1">
      <alignment horizontal="right" wrapText="1"/>
    </xf>
    <xf numFmtId="164" fontId="16" fillId="0" borderId="155" xfId="0" applyFont="1" applyBorder="1" applyAlignment="1">
      <alignment horizontal="left"/>
    </xf>
    <xf numFmtId="164" fontId="16" fillId="0" borderId="201" xfId="0" applyFont="1" applyBorder="1" applyAlignment="1">
      <alignment horizontal="left"/>
    </xf>
    <xf numFmtId="164" fontId="16" fillId="0" borderId="199" xfId="0" applyFont="1" applyBorder="1" applyAlignment="1">
      <alignment horizontal="left"/>
    </xf>
    <xf numFmtId="164" fontId="16" fillId="27" borderId="209" xfId="0" applyFont="1" applyFill="1" applyBorder="1" applyAlignment="1">
      <alignment horizontal="center"/>
    </xf>
    <xf numFmtId="164" fontId="16" fillId="27" borderId="153" xfId="0" applyFont="1" applyFill="1" applyBorder="1" applyAlignment="1">
      <alignment horizontal="center"/>
    </xf>
    <xf numFmtId="1" fontId="16" fillId="27" borderId="152" xfId="0" applyNumberFormat="1" applyFont="1" applyFill="1" applyBorder="1" applyAlignment="1">
      <alignment horizontal="center"/>
    </xf>
    <xf numFmtId="1" fontId="16" fillId="0" borderId="209" xfId="0" applyNumberFormat="1" applyFont="1" applyBorder="1" applyAlignment="1">
      <alignment horizontal="center"/>
    </xf>
    <xf numFmtId="1" fontId="16" fillId="0" borderId="151" xfId="0" applyNumberFormat="1" applyFont="1" applyBorder="1" applyAlignment="1">
      <alignment horizontal="center"/>
    </xf>
    <xf numFmtId="1" fontId="16" fillId="0" borderId="153" xfId="0" applyNumberFormat="1" applyFont="1" applyBorder="1" applyAlignment="1">
      <alignment horizontal="center"/>
    </xf>
    <xf numFmtId="164" fontId="16" fillId="0" borderId="209" xfId="0" applyFont="1" applyBorder="1" applyAlignment="1">
      <alignment horizontal="center"/>
    </xf>
    <xf numFmtId="164" fontId="16" fillId="0" borderId="153" xfId="0" applyFont="1" applyBorder="1" applyAlignment="1">
      <alignment horizontal="center"/>
    </xf>
    <xf numFmtId="1" fontId="16" fillId="0" borderId="152" xfId="0" applyNumberFormat="1" applyFont="1" applyBorder="1" applyAlignment="1">
      <alignment horizontal="center"/>
    </xf>
    <xf numFmtId="1" fontId="16" fillId="0" borderId="210" xfId="0" applyNumberFormat="1" applyFont="1" applyBorder="1" applyAlignment="1">
      <alignment horizontal="center"/>
    </xf>
    <xf numFmtId="164" fontId="16" fillId="0" borderId="181" xfId="0" applyFont="1" applyBorder="1" applyAlignment="1">
      <alignment horizontal="center"/>
    </xf>
    <xf numFmtId="164" fontId="16" fillId="0" borderId="180" xfId="0" applyFont="1" applyBorder="1" applyAlignment="1">
      <alignment horizontal="center"/>
    </xf>
    <xf numFmtId="164" fontId="16" fillId="27" borderId="181" xfId="0" applyFont="1" applyFill="1" applyBorder="1" applyAlignment="1">
      <alignment horizontal="center"/>
    </xf>
    <xf numFmtId="164" fontId="16" fillId="27" borderId="180" xfId="0" applyFont="1" applyFill="1" applyBorder="1" applyAlignment="1">
      <alignment horizontal="center"/>
    </xf>
    <xf numFmtId="1" fontId="136" fillId="0" borderId="209" xfId="0" applyNumberFormat="1" applyFont="1" applyBorder="1" applyAlignment="1">
      <alignment horizontal="center"/>
    </xf>
    <xf numFmtId="1" fontId="136" fillId="0" borderId="151" xfId="0" applyNumberFormat="1" applyFont="1" applyBorder="1" applyAlignment="1">
      <alignment horizontal="center"/>
    </xf>
    <xf numFmtId="1" fontId="136" fillId="0" borderId="153" xfId="0" applyNumberFormat="1" applyFont="1" applyBorder="1" applyAlignment="1">
      <alignment horizontal="center"/>
    </xf>
    <xf numFmtId="164" fontId="136" fillId="0" borderId="209" xfId="0" applyFont="1" applyBorder="1" applyAlignment="1">
      <alignment horizontal="center"/>
    </xf>
    <xf numFmtId="164" fontId="136" fillId="0" borderId="153" xfId="0" applyFont="1" applyBorder="1" applyAlignment="1">
      <alignment horizontal="center"/>
    </xf>
    <xf numFmtId="1" fontId="136" fillId="27" borderId="152" xfId="0" applyNumberFormat="1" applyFont="1" applyFill="1" applyBorder="1" applyAlignment="1">
      <alignment horizontal="center"/>
    </xf>
    <xf numFmtId="1" fontId="136" fillId="27" borderId="151" xfId="0" applyNumberFormat="1" applyFont="1" applyFill="1" applyBorder="1" applyAlignment="1">
      <alignment horizontal="center"/>
    </xf>
    <xf numFmtId="1" fontId="136" fillId="27" borderId="210" xfId="0" applyNumberFormat="1" applyFont="1" applyFill="1" applyBorder="1" applyAlignment="1">
      <alignment horizontal="center"/>
    </xf>
    <xf numFmtId="1" fontId="136" fillId="27" borderId="209" xfId="0" applyNumberFormat="1" applyFont="1" applyFill="1" applyBorder="1" applyAlignment="1">
      <alignment horizontal="center"/>
    </xf>
    <xf numFmtId="1" fontId="136" fillId="27" borderId="153" xfId="0" applyNumberFormat="1" applyFont="1" applyFill="1" applyBorder="1" applyAlignment="1">
      <alignment horizontal="center"/>
    </xf>
    <xf numFmtId="164" fontId="136" fillId="27" borderId="181" xfId="0" applyFont="1" applyFill="1" applyBorder="1" applyAlignment="1">
      <alignment horizontal="center"/>
    </xf>
    <xf numFmtId="164" fontId="136" fillId="27" borderId="180" xfId="0" applyFont="1" applyFill="1" applyBorder="1" applyAlignment="1">
      <alignment horizontal="center"/>
    </xf>
    <xf numFmtId="1" fontId="136" fillId="0" borderId="152" xfId="0" applyNumberFormat="1" applyFont="1" applyBorder="1" applyAlignment="1">
      <alignment horizontal="center"/>
    </xf>
    <xf numFmtId="1" fontId="136" fillId="0" borderId="210" xfId="0" applyNumberFormat="1" applyFont="1" applyBorder="1" applyAlignment="1">
      <alignment horizontal="center"/>
    </xf>
    <xf numFmtId="1" fontId="136" fillId="0" borderId="218" xfId="0" applyNumberFormat="1" applyFont="1" applyBorder="1" applyAlignment="1">
      <alignment horizontal="center"/>
    </xf>
    <xf numFmtId="1" fontId="136" fillId="0" borderId="215" xfId="0" applyNumberFormat="1" applyFont="1" applyBorder="1" applyAlignment="1">
      <alignment horizontal="center"/>
    </xf>
    <xf numFmtId="1" fontId="136" fillId="0" borderId="217" xfId="0" applyNumberFormat="1" applyFont="1" applyBorder="1" applyAlignment="1">
      <alignment horizontal="center"/>
    </xf>
    <xf numFmtId="1" fontId="136" fillId="0" borderId="216" xfId="0" applyNumberFormat="1" applyFont="1" applyBorder="1" applyAlignment="1">
      <alignment horizontal="center"/>
    </xf>
    <xf numFmtId="1" fontId="136" fillId="0" borderId="214" xfId="0" applyNumberFormat="1" applyFont="1" applyBorder="1" applyAlignment="1">
      <alignment horizontal="center"/>
    </xf>
    <xf numFmtId="164" fontId="136" fillId="0" borderId="212" xfId="0" applyFont="1" applyBorder="1" applyAlignment="1">
      <alignment horizontal="center"/>
    </xf>
    <xf numFmtId="164" fontId="136" fillId="0" borderId="211" xfId="0" applyFont="1" applyBorder="1" applyAlignment="1">
      <alignment horizontal="center"/>
    </xf>
    <xf numFmtId="164" fontId="35" fillId="31" borderId="223" xfId="0" applyFont="1" applyFill="1" applyBorder="1" applyAlignment="1">
      <alignment horizontal="center"/>
    </xf>
    <xf numFmtId="164" fontId="35" fillId="31" borderId="221" xfId="0" applyFont="1" applyFill="1" applyBorder="1" applyAlignment="1">
      <alignment horizontal="center"/>
    </xf>
    <xf numFmtId="164" fontId="35" fillId="31" borderId="222" xfId="0" applyFont="1" applyFill="1" applyBorder="1" applyAlignment="1">
      <alignment horizontal="center"/>
    </xf>
    <xf numFmtId="164" fontId="35" fillId="31" borderId="220" xfId="0" applyFont="1" applyFill="1" applyBorder="1" applyAlignment="1">
      <alignment horizontal="center"/>
    </xf>
    <xf numFmtId="164" fontId="130" fillId="27" borderId="181" xfId="0" applyFont="1" applyFill="1" applyBorder="1" applyAlignment="1">
      <alignment horizontal="center"/>
    </xf>
    <xf numFmtId="164" fontId="130" fillId="27" borderId="180" xfId="0" applyFont="1" applyFill="1" applyBorder="1" applyAlignment="1">
      <alignment horizontal="center"/>
    </xf>
    <xf numFmtId="164" fontId="139" fillId="0" borderId="152" xfId="0" applyFont="1" applyBorder="1" applyAlignment="1">
      <alignment horizontal="left"/>
    </xf>
    <xf numFmtId="164" fontId="139" fillId="0" borderId="151" xfId="0" applyFont="1" applyBorder="1" applyAlignment="1">
      <alignment horizontal="left"/>
    </xf>
    <xf numFmtId="164" fontId="139" fillId="0" borderId="153" xfId="0" applyFont="1" applyBorder="1" applyAlignment="1">
      <alignment horizontal="left"/>
    </xf>
    <xf numFmtId="164" fontId="130" fillId="0" borderId="181" xfId="0" applyFont="1" applyBorder="1" applyAlignment="1">
      <alignment horizontal="center"/>
    </xf>
    <xf numFmtId="164" fontId="130" fillId="0" borderId="180" xfId="0" applyFont="1" applyBorder="1" applyAlignment="1">
      <alignment horizontal="center"/>
    </xf>
    <xf numFmtId="164" fontId="139" fillId="27" borderId="154" xfId="0" applyFont="1" applyFill="1" applyBorder="1" applyAlignment="1">
      <alignment horizontal="left"/>
    </xf>
    <xf numFmtId="164" fontId="139" fillId="27" borderId="155" xfId="0" applyFont="1" applyFill="1" applyBorder="1" applyAlignment="1">
      <alignment horizontal="left"/>
    </xf>
    <xf numFmtId="164" fontId="139" fillId="27" borderId="156" xfId="0" applyFont="1" applyFill="1" applyBorder="1" applyAlignment="1">
      <alignment horizontal="left"/>
    </xf>
    <xf numFmtId="164" fontId="16" fillId="27" borderId="178" xfId="0" applyFont="1" applyFill="1" applyBorder="1" applyAlignment="1">
      <alignment horizontal="center"/>
    </xf>
    <xf numFmtId="164" fontId="16" fillId="27" borderId="177" xfId="0" applyFont="1" applyFill="1" applyBorder="1" applyAlignment="1">
      <alignment horizontal="center"/>
    </xf>
    <xf numFmtId="164" fontId="35" fillId="31" borderId="219" xfId="0" applyFont="1" applyFill="1" applyBorder="1" applyAlignment="1">
      <alignment horizontal="center"/>
    </xf>
    <xf numFmtId="164" fontId="130" fillId="32" borderId="220" xfId="0" applyFont="1" applyFill="1" applyBorder="1" applyAlignment="1">
      <alignment horizontal="center"/>
    </xf>
    <xf numFmtId="164" fontId="130" fillId="32" borderId="219" xfId="0" applyFont="1" applyFill="1" applyBorder="1" applyAlignment="1">
      <alignment horizontal="center"/>
    </xf>
    <xf numFmtId="164" fontId="16" fillId="0" borderId="234" xfId="0" applyFont="1" applyBorder="1" applyAlignment="1">
      <alignment horizontal="left"/>
    </xf>
    <xf numFmtId="164" fontId="16" fillId="0" borderId="233" xfId="0" applyFont="1" applyBorder="1" applyAlignment="1">
      <alignment horizontal="left"/>
    </xf>
    <xf numFmtId="164" fontId="22" fillId="31" borderId="224" xfId="0" applyFont="1" applyFill="1" applyBorder="1" applyAlignment="1">
      <alignment horizontal="center" vertical="center" wrapText="1"/>
    </xf>
    <xf numFmtId="164" fontId="22" fillId="31" borderId="228" xfId="0" applyFont="1" applyFill="1" applyBorder="1" applyAlignment="1">
      <alignment horizontal="center" vertical="center" wrapText="1"/>
    </xf>
    <xf numFmtId="164" fontId="22" fillId="31" borderId="227" xfId="0" applyFont="1" applyFill="1" applyBorder="1" applyAlignment="1">
      <alignment horizontal="center" vertical="center" wrapText="1"/>
    </xf>
    <xf numFmtId="164" fontId="130" fillId="31" borderId="226" xfId="0" applyFont="1" applyFill="1" applyBorder="1" applyAlignment="1">
      <alignment horizontal="center"/>
    </xf>
    <xf numFmtId="164" fontId="130" fillId="31" borderId="225" xfId="0" applyFont="1" applyFill="1" applyBorder="1" applyAlignment="1">
      <alignment horizontal="center"/>
    </xf>
    <xf numFmtId="164" fontId="40" fillId="0" borderId="202" xfId="0" applyFont="1" applyBorder="1" applyAlignment="1">
      <alignment horizontal="right" wrapText="1"/>
    </xf>
    <xf numFmtId="164" fontId="40" fillId="0" borderId="155" xfId="0" applyFont="1" applyBorder="1" applyAlignment="1">
      <alignment horizontal="right" wrapText="1"/>
    </xf>
    <xf numFmtId="164" fontId="40" fillId="0" borderId="202" xfId="0" applyFont="1" applyBorder="1" applyAlignment="1">
      <alignment horizontal="left" vertical="top"/>
    </xf>
    <xf numFmtId="164" fontId="16" fillId="0" borderId="156" xfId="0" applyFont="1" applyBorder="1" applyAlignment="1">
      <alignment horizontal="left"/>
    </xf>
    <xf numFmtId="164" fontId="35" fillId="31" borderId="231" xfId="0" applyFont="1" applyFill="1" applyBorder="1" applyAlignment="1">
      <alignment horizontal="center"/>
    </xf>
    <xf numFmtId="164" fontId="35" fillId="31" borderId="171" xfId="0" applyFont="1" applyFill="1" applyBorder="1" applyAlignment="1">
      <alignment horizontal="center"/>
    </xf>
    <xf numFmtId="164" fontId="35" fillId="31" borderId="230" xfId="0" applyFont="1" applyFill="1" applyBorder="1" applyAlignment="1">
      <alignment horizontal="center"/>
    </xf>
    <xf numFmtId="164" fontId="139" fillId="27" borderId="218" xfId="0" applyFont="1" applyFill="1" applyBorder="1" applyAlignment="1">
      <alignment horizontal="left"/>
    </xf>
    <xf numFmtId="164" fontId="139" fillId="27" borderId="215" xfId="0" applyFont="1" applyFill="1" applyBorder="1" applyAlignment="1">
      <alignment horizontal="left"/>
    </xf>
    <xf numFmtId="164" fontId="139" fillId="27" borderId="214" xfId="0" applyFont="1" applyFill="1" applyBorder="1" applyAlignment="1">
      <alignment horizontal="left"/>
    </xf>
    <xf numFmtId="164" fontId="130" fillId="27" borderId="186" xfId="0" applyFont="1" applyFill="1" applyBorder="1" applyAlignment="1">
      <alignment horizontal="center"/>
    </xf>
    <xf numFmtId="164" fontId="130" fillId="27" borderId="185" xfId="0" applyFont="1" applyFill="1" applyBorder="1" applyAlignment="1">
      <alignment horizontal="center"/>
    </xf>
    <xf numFmtId="164" fontId="139" fillId="27" borderId="152" xfId="0" applyFont="1" applyFill="1" applyBorder="1" applyAlignment="1">
      <alignment horizontal="left"/>
    </xf>
    <xf numFmtId="164" fontId="139" fillId="27" borderId="151" xfId="0" applyFont="1" applyFill="1" applyBorder="1" applyAlignment="1">
      <alignment horizontal="left"/>
    </xf>
    <xf numFmtId="164" fontId="139" fillId="27" borderId="153" xfId="0" applyFont="1" applyFill="1" applyBorder="1" applyAlignment="1">
      <alignment horizontal="left"/>
    </xf>
    <xf numFmtId="164" fontId="16" fillId="0" borderId="235" xfId="0" applyFont="1" applyBorder="1" applyAlignment="1">
      <alignment horizontal="left"/>
    </xf>
    <xf numFmtId="164" fontId="40" fillId="0" borderId="237" xfId="0" applyFont="1" applyBorder="1" applyAlignment="1">
      <alignment horizontal="right" wrapText="1"/>
    </xf>
    <xf numFmtId="164" fontId="40" fillId="0" borderId="151" xfId="0" applyFont="1" applyBorder="1" applyAlignment="1">
      <alignment horizontal="right" wrapText="1"/>
    </xf>
    <xf numFmtId="164" fontId="16" fillId="0" borderId="151" xfId="0" applyFont="1" applyBorder="1" applyAlignment="1">
      <alignment horizontal="left"/>
    </xf>
    <xf numFmtId="164" fontId="16" fillId="0" borderId="236" xfId="0" applyFont="1" applyBorder="1" applyAlignment="1">
      <alignment horizontal="left"/>
    </xf>
    <xf numFmtId="164" fontId="35" fillId="0" borderId="154" xfId="0" applyFont="1" applyBorder="1" applyAlignment="1">
      <alignment horizontal="right"/>
    </xf>
    <xf numFmtId="164" fontId="35" fillId="0" borderId="155" xfId="0" applyFont="1" applyBorder="1" applyAlignment="1">
      <alignment horizontal="right"/>
    </xf>
    <xf numFmtId="164" fontId="35" fillId="0" borderId="156" xfId="0" applyFont="1" applyBorder="1" applyAlignment="1">
      <alignment horizontal="right"/>
    </xf>
    <xf numFmtId="174" fontId="140" fillId="0" borderId="154" xfId="0" applyNumberFormat="1" applyFont="1" applyBorder="1" applyAlignment="1">
      <alignment horizontal="center"/>
    </xf>
    <xf numFmtId="174" fontId="140" fillId="0" borderId="155" xfId="0" applyNumberFormat="1" applyFont="1" applyBorder="1" applyAlignment="1">
      <alignment horizontal="center"/>
    </xf>
    <xf numFmtId="174" fontId="140" fillId="0" borderId="239" xfId="0" applyNumberFormat="1" applyFont="1" applyBorder="1" applyAlignment="1">
      <alignment horizontal="center"/>
    </xf>
    <xf numFmtId="1" fontId="40" fillId="0" borderId="238" xfId="0" applyNumberFormat="1" applyFont="1" applyBorder="1" applyAlignment="1">
      <alignment horizontal="center"/>
    </xf>
    <xf numFmtId="1" fontId="40" fillId="0" borderId="155" xfId="0" applyNumberFormat="1" applyFont="1" applyBorder="1" applyAlignment="1">
      <alignment horizontal="center"/>
    </xf>
    <xf numFmtId="1" fontId="40" fillId="0" borderId="208" xfId="0" applyNumberFormat="1" applyFont="1" applyBorder="1" applyAlignment="1">
      <alignment horizontal="center"/>
    </xf>
    <xf numFmtId="1" fontId="40" fillId="0" borderId="154" xfId="0" applyNumberFormat="1" applyFont="1" applyBorder="1" applyAlignment="1">
      <alignment horizontal="center"/>
    </xf>
    <xf numFmtId="174" fontId="140" fillId="0" borderId="154" xfId="0" applyNumberFormat="1" applyFont="1" applyBorder="1" applyAlignment="1">
      <alignment horizontal="center" vertical="top" wrapText="1"/>
    </xf>
    <xf numFmtId="174" fontId="140" fillId="0" borderId="155" xfId="0" applyNumberFormat="1" applyFont="1" applyBorder="1" applyAlignment="1">
      <alignment horizontal="center" vertical="top" wrapText="1"/>
    </xf>
    <xf numFmtId="174" fontId="140" fillId="0" borderId="156" xfId="0" applyNumberFormat="1" applyFont="1" applyBorder="1" applyAlignment="1">
      <alignment horizontal="center" vertical="top" wrapText="1"/>
    </xf>
    <xf numFmtId="164" fontId="40" fillId="27" borderId="40" xfId="0" applyFont="1" applyFill="1" applyBorder="1" applyAlignment="1">
      <alignment horizontal="center" vertical="top" wrapText="1"/>
    </xf>
    <xf numFmtId="164" fontId="40" fillId="27" borderId="9" xfId="0" applyFont="1" applyFill="1" applyBorder="1" applyAlignment="1">
      <alignment horizontal="center" vertical="top" wrapText="1"/>
    </xf>
    <xf numFmtId="164" fontId="40" fillId="27" borderId="25" xfId="0" applyFont="1" applyFill="1" applyBorder="1" applyAlignment="1">
      <alignment horizontal="center" vertical="top" wrapText="1"/>
    </xf>
    <xf numFmtId="164" fontId="35" fillId="0" borderId="243" xfId="0" applyFont="1" applyBorder="1" applyAlignment="1">
      <alignment horizontal="right"/>
    </xf>
    <xf numFmtId="164" fontId="35" fillId="0" borderId="242" xfId="0" applyFont="1" applyBorder="1" applyAlignment="1">
      <alignment horizontal="right"/>
    </xf>
    <xf numFmtId="164" fontId="35" fillId="0" borderId="241" xfId="0" applyFont="1" applyBorder="1" applyAlignment="1">
      <alignment horizontal="right"/>
    </xf>
    <xf numFmtId="168" fontId="140" fillId="0" borderId="167" xfId="0" applyNumberFormat="1" applyFont="1" applyBorder="1" applyAlignment="1">
      <alignment horizontal="center"/>
    </xf>
    <xf numFmtId="168" fontId="140" fillId="0" borderId="168" xfId="0" applyNumberFormat="1" applyFont="1" applyBorder="1" applyAlignment="1">
      <alignment horizontal="center"/>
    </xf>
    <xf numFmtId="1" fontId="40" fillId="0" borderId="245" xfId="0" applyNumberFormat="1" applyFont="1" applyBorder="1" applyAlignment="1">
      <alignment horizontal="center"/>
    </xf>
    <xf numFmtId="1" fontId="40" fillId="0" borderId="168" xfId="0" applyNumberFormat="1" applyFont="1" applyBorder="1" applyAlignment="1">
      <alignment horizontal="center"/>
    </xf>
    <xf numFmtId="1" fontId="40" fillId="0" borderId="244" xfId="0" applyNumberFormat="1" applyFont="1" applyBorder="1" applyAlignment="1">
      <alignment horizontal="center"/>
    </xf>
    <xf numFmtId="1" fontId="40" fillId="0" borderId="167" xfId="0" applyNumberFormat="1" applyFont="1" applyBorder="1" applyAlignment="1">
      <alignment horizontal="center"/>
    </xf>
    <xf numFmtId="168" fontId="140" fillId="0" borderId="243" xfId="0" applyNumberFormat="1" applyFont="1" applyBorder="1" applyAlignment="1">
      <alignment horizontal="center" vertical="top" wrapText="1"/>
    </xf>
    <xf numFmtId="168" fontId="140" fillId="0" borderId="242" xfId="0" applyNumberFormat="1" applyFont="1" applyBorder="1" applyAlignment="1">
      <alignment horizontal="center" vertical="top" wrapText="1"/>
    </xf>
    <xf numFmtId="168" fontId="140" fillId="0" borderId="241" xfId="0" applyNumberFormat="1" applyFont="1" applyBorder="1" applyAlignment="1">
      <alignment horizontal="center" vertical="top" wrapText="1"/>
    </xf>
    <xf numFmtId="164" fontId="35" fillId="27" borderId="152" xfId="0" applyFont="1" applyFill="1" applyBorder="1" applyAlignment="1">
      <alignment horizontal="right"/>
    </xf>
    <xf numFmtId="164" fontId="35" fillId="27" borderId="151" xfId="0" applyFont="1" applyFill="1" applyBorder="1" applyAlignment="1">
      <alignment horizontal="right"/>
    </xf>
    <xf numFmtId="164" fontId="35" fillId="27" borderId="153" xfId="0" applyFont="1" applyFill="1" applyBorder="1" applyAlignment="1">
      <alignment horizontal="right"/>
    </xf>
    <xf numFmtId="168" fontId="140" fillId="27" borderId="152" xfId="0" applyNumberFormat="1" applyFont="1" applyFill="1" applyBorder="1" applyAlignment="1">
      <alignment horizontal="center"/>
    </xf>
    <xf numFmtId="168" fontId="140" fillId="27" borderId="151" xfId="0" applyNumberFormat="1" applyFont="1" applyFill="1" applyBorder="1" applyAlignment="1">
      <alignment horizontal="center"/>
    </xf>
    <xf numFmtId="1" fontId="40" fillId="27" borderId="240" xfId="0" applyNumberFormat="1" applyFont="1" applyFill="1" applyBorder="1" applyAlignment="1">
      <alignment horizontal="center"/>
    </xf>
    <xf numFmtId="1" fontId="40" fillId="27" borderId="151" xfId="0" applyNumberFormat="1" applyFont="1" applyFill="1" applyBorder="1" applyAlignment="1">
      <alignment horizontal="center"/>
    </xf>
    <xf numFmtId="1" fontId="40" fillId="27" borderId="210" xfId="0" applyNumberFormat="1" applyFont="1" applyFill="1" applyBorder="1" applyAlignment="1">
      <alignment horizontal="center"/>
    </xf>
    <xf numFmtId="1" fontId="40" fillId="27" borderId="152" xfId="0" applyNumberFormat="1" applyFont="1" applyFill="1" applyBorder="1" applyAlignment="1">
      <alignment horizontal="center"/>
    </xf>
    <xf numFmtId="168" fontId="140" fillId="27" borderId="167" xfId="0" applyNumberFormat="1" applyFont="1" applyFill="1" applyBorder="1" applyAlignment="1">
      <alignment horizontal="center" vertical="top" wrapText="1"/>
    </xf>
    <xf numFmtId="168" fontId="140" fillId="27" borderId="168" xfId="0" applyNumberFormat="1" applyFont="1" applyFill="1" applyBorder="1" applyAlignment="1">
      <alignment horizontal="center" vertical="top" wrapText="1"/>
    </xf>
    <xf numFmtId="168" fontId="140" fillId="27" borderId="169" xfId="0" applyNumberFormat="1" applyFont="1" applyFill="1" applyBorder="1" applyAlignment="1">
      <alignment horizontal="center" vertical="top" wrapText="1"/>
    </xf>
    <xf numFmtId="168" fontId="140" fillId="0" borderId="169" xfId="0" applyNumberFormat="1" applyFont="1" applyBorder="1" applyAlignment="1">
      <alignment horizontal="center"/>
    </xf>
    <xf numFmtId="168" fontId="136" fillId="0" borderId="152" xfId="0" applyNumberFormat="1" applyFont="1" applyBorder="1" applyAlignment="1">
      <alignment horizontal="center"/>
    </xf>
    <xf numFmtId="168" fontId="136" fillId="0" borderId="151" xfId="0" applyNumberFormat="1" applyFont="1" applyBorder="1" applyAlignment="1">
      <alignment horizontal="center"/>
    </xf>
    <xf numFmtId="168" fontId="136" fillId="0" borderId="252" xfId="0" applyNumberFormat="1" applyFont="1" applyBorder="1" applyAlignment="1">
      <alignment horizontal="center"/>
    </xf>
    <xf numFmtId="168" fontId="136" fillId="0" borderId="245" xfId="0" applyNumberFormat="1" applyFont="1" applyBorder="1" applyAlignment="1">
      <alignment horizontal="center"/>
    </xf>
    <xf numFmtId="168" fontId="136" fillId="0" borderId="168" xfId="0" applyNumberFormat="1" applyFont="1" applyBorder="1" applyAlignment="1">
      <alignment horizontal="center"/>
    </xf>
    <xf numFmtId="168" fontId="136" fillId="0" borderId="244" xfId="0" applyNumberFormat="1" applyFont="1" applyBorder="1" applyAlignment="1">
      <alignment horizontal="center"/>
    </xf>
    <xf numFmtId="168" fontId="136" fillId="0" borderId="167" xfId="0" applyNumberFormat="1" applyFont="1" applyBorder="1" applyAlignment="1">
      <alignment horizontal="center"/>
    </xf>
    <xf numFmtId="168" fontId="136" fillId="0" borderId="153" xfId="0" applyNumberFormat="1" applyFont="1" applyBorder="1" applyAlignment="1">
      <alignment horizontal="center"/>
    </xf>
    <xf numFmtId="168" fontId="136" fillId="27" borderId="248" xfId="0" applyNumberFormat="1" applyFont="1" applyFill="1" applyBorder="1" applyAlignment="1">
      <alignment horizontal="center"/>
    </xf>
    <xf numFmtId="168" fontId="136" fillId="27" borderId="247" xfId="0" applyNumberFormat="1" applyFont="1" applyFill="1" applyBorder="1" applyAlignment="1">
      <alignment horizontal="center"/>
    </xf>
    <xf numFmtId="168" fontId="136" fillId="27" borderId="251" xfId="0" applyNumberFormat="1" applyFont="1" applyFill="1" applyBorder="1" applyAlignment="1">
      <alignment horizontal="center"/>
    </xf>
    <xf numFmtId="168" fontId="136" fillId="27" borderId="250" xfId="0" applyNumberFormat="1" applyFont="1" applyFill="1" applyBorder="1" applyAlignment="1">
      <alignment horizontal="center"/>
    </xf>
    <xf numFmtId="168" fontId="136" fillId="27" borderId="249" xfId="0" applyNumberFormat="1" applyFont="1" applyFill="1" applyBorder="1" applyAlignment="1">
      <alignment horizontal="center"/>
    </xf>
    <xf numFmtId="168" fontId="136" fillId="27" borderId="246" xfId="0" applyNumberFormat="1" applyFont="1" applyFill="1" applyBorder="1" applyAlignment="1">
      <alignment horizontal="center"/>
    </xf>
    <xf numFmtId="168" fontId="136" fillId="0" borderId="210" xfId="0" applyNumberFormat="1" applyFont="1" applyBorder="1" applyAlignment="1">
      <alignment horizontal="center"/>
    </xf>
    <xf numFmtId="168" fontId="136" fillId="0" borderId="240" xfId="0" applyNumberFormat="1" applyFont="1" applyBorder="1" applyAlignment="1">
      <alignment horizontal="center"/>
    </xf>
    <xf numFmtId="168" fontId="136" fillId="27" borderId="152" xfId="0" applyNumberFormat="1" applyFont="1" applyFill="1" applyBorder="1" applyAlignment="1">
      <alignment horizontal="center"/>
    </xf>
    <xf numFmtId="168" fontId="136" fillId="27" borderId="151" xfId="0" applyNumberFormat="1" applyFont="1" applyFill="1" applyBorder="1" applyAlignment="1">
      <alignment horizontal="center"/>
    </xf>
    <xf numFmtId="168" fontId="136" fillId="27" borderId="210" xfId="0" applyNumberFormat="1" applyFont="1" applyFill="1" applyBorder="1" applyAlignment="1">
      <alignment horizontal="center"/>
    </xf>
    <xf numFmtId="168" fontId="136" fillId="27" borderId="252" xfId="0" applyNumberFormat="1" applyFont="1" applyFill="1" applyBorder="1" applyAlignment="1">
      <alignment horizontal="center"/>
    </xf>
    <xf numFmtId="168" fontId="136" fillId="27" borderId="240" xfId="0" applyNumberFormat="1" applyFont="1" applyFill="1" applyBorder="1" applyAlignment="1">
      <alignment horizontal="center"/>
    </xf>
    <xf numFmtId="168" fontId="136" fillId="27" borderId="153" xfId="0" applyNumberFormat="1" applyFont="1" applyFill="1" applyBorder="1" applyAlignment="1">
      <alignment horizontal="center"/>
    </xf>
    <xf numFmtId="168" fontId="140" fillId="0" borderId="152" xfId="0" applyNumberFormat="1" applyFont="1" applyBorder="1" applyAlignment="1">
      <alignment horizontal="center"/>
    </xf>
    <xf numFmtId="168" fontId="140" fillId="0" borderId="151" xfId="0" applyNumberFormat="1" applyFont="1" applyBorder="1" applyAlignment="1">
      <alignment horizontal="center"/>
    </xf>
    <xf numFmtId="168" fontId="140" fillId="0" borderId="210" xfId="0" applyNumberFormat="1" applyFont="1" applyBorder="1" applyAlignment="1">
      <alignment horizontal="center"/>
    </xf>
    <xf numFmtId="168" fontId="140" fillId="0" borderId="252" xfId="0" applyNumberFormat="1" applyFont="1" applyBorder="1" applyAlignment="1">
      <alignment horizontal="center"/>
    </xf>
    <xf numFmtId="168" fontId="140" fillId="0" borderId="240" xfId="0" applyNumberFormat="1" applyFont="1" applyBorder="1" applyAlignment="1">
      <alignment horizontal="center"/>
    </xf>
    <xf numFmtId="168" fontId="140" fillId="0" borderId="153" xfId="0" applyNumberFormat="1" applyFont="1" applyBorder="1" applyAlignment="1">
      <alignment horizontal="center"/>
    </xf>
    <xf numFmtId="168" fontId="140" fillId="27" borderId="210" xfId="0" applyNumberFormat="1" applyFont="1" applyFill="1" applyBorder="1" applyAlignment="1">
      <alignment horizontal="center"/>
    </xf>
    <xf numFmtId="168" fontId="140" fillId="27" borderId="252" xfId="0" applyNumberFormat="1" applyFont="1" applyFill="1" applyBorder="1" applyAlignment="1">
      <alignment horizontal="center"/>
    </xf>
    <xf numFmtId="168" fontId="140" fillId="27" borderId="240" xfId="0" applyNumberFormat="1" applyFont="1" applyFill="1" applyBorder="1" applyAlignment="1">
      <alignment horizontal="center"/>
    </xf>
    <xf numFmtId="168" fontId="140" fillId="27" borderId="153" xfId="0" applyNumberFormat="1" applyFont="1" applyFill="1" applyBorder="1" applyAlignment="1">
      <alignment horizontal="center"/>
    </xf>
    <xf numFmtId="168" fontId="140" fillId="27" borderId="218" xfId="0" applyNumberFormat="1" applyFont="1" applyFill="1" applyBorder="1" applyAlignment="1">
      <alignment horizontal="center"/>
    </xf>
    <xf numFmtId="168" fontId="140" fillId="27" borderId="215" xfId="0" applyNumberFormat="1" applyFont="1" applyFill="1" applyBorder="1" applyAlignment="1">
      <alignment horizontal="center"/>
    </xf>
    <xf numFmtId="168" fontId="140" fillId="27" borderId="217" xfId="0" applyNumberFormat="1" applyFont="1" applyFill="1" applyBorder="1" applyAlignment="1">
      <alignment horizontal="center"/>
    </xf>
    <xf numFmtId="168" fontId="140" fillId="27" borderId="256" xfId="0" applyNumberFormat="1" applyFont="1" applyFill="1" applyBorder="1" applyAlignment="1">
      <alignment horizontal="center"/>
    </xf>
    <xf numFmtId="168" fontId="140" fillId="27" borderId="255" xfId="0" applyNumberFormat="1" applyFont="1" applyFill="1" applyBorder="1" applyAlignment="1">
      <alignment horizontal="center"/>
    </xf>
    <xf numFmtId="164" fontId="136" fillId="0" borderId="254" xfId="0" applyFont="1" applyBorder="1" applyAlignment="1">
      <alignment horizontal="left" vertical="top" wrapText="1"/>
    </xf>
    <xf numFmtId="164" fontId="136" fillId="0" borderId="175" xfId="0" applyFont="1" applyBorder="1" applyAlignment="1">
      <alignment horizontal="left" vertical="top" wrapText="1"/>
    </xf>
    <xf numFmtId="164" fontId="136" fillId="0" borderId="253" xfId="0" applyFont="1" applyBorder="1" applyAlignment="1">
      <alignment horizontal="left" vertical="top" wrapText="1"/>
    </xf>
    <xf numFmtId="164" fontId="136" fillId="0" borderId="14" xfId="0" applyFont="1" applyBorder="1" applyAlignment="1">
      <alignment horizontal="left" vertical="top" wrapText="1"/>
    </xf>
    <xf numFmtId="164" fontId="136" fillId="0" borderId="0" xfId="0" applyFont="1" applyAlignment="1">
      <alignment horizontal="left" vertical="top" wrapText="1"/>
    </xf>
    <xf numFmtId="164" fontId="136" fillId="0" borderId="18" xfId="0" applyFont="1" applyBorder="1" applyAlignment="1">
      <alignment horizontal="left" vertical="top" wrapText="1"/>
    </xf>
    <xf numFmtId="164" fontId="130" fillId="31" borderId="231" xfId="0" applyFont="1" applyFill="1" applyBorder="1" applyAlignment="1">
      <alignment horizontal="center" wrapText="1"/>
    </xf>
    <xf numFmtId="164" fontId="40" fillId="31" borderId="171" xfId="0" applyFont="1" applyFill="1" applyBorder="1" applyAlignment="1">
      <alignment horizontal="center" wrapText="1"/>
    </xf>
    <xf numFmtId="164" fontId="40" fillId="31" borderId="257" xfId="0" applyFont="1" applyFill="1" applyBorder="1" applyAlignment="1">
      <alignment horizontal="center" wrapText="1"/>
    </xf>
    <xf numFmtId="164" fontId="130" fillId="29" borderId="172" xfId="0" applyFont="1" applyFill="1" applyBorder="1" applyAlignment="1">
      <alignment horizontal="center" wrapText="1"/>
    </xf>
    <xf numFmtId="164" fontId="40" fillId="29" borderId="171" xfId="0" applyFont="1" applyFill="1" applyBorder="1" applyAlignment="1">
      <alignment horizontal="center" wrapText="1"/>
    </xf>
    <xf numFmtId="164" fontId="40" fillId="29" borderId="257" xfId="0" applyFont="1" applyFill="1" applyBorder="1" applyAlignment="1">
      <alignment horizontal="center" wrapText="1"/>
    </xf>
    <xf numFmtId="164" fontId="130" fillId="29" borderId="231" xfId="0" applyFont="1" applyFill="1" applyBorder="1" applyAlignment="1">
      <alignment horizontal="center" wrapText="1"/>
    </xf>
    <xf numFmtId="164" fontId="40" fillId="29" borderId="230" xfId="0" applyFont="1" applyFill="1" applyBorder="1" applyAlignment="1">
      <alignment horizontal="center" wrapText="1"/>
    </xf>
    <xf numFmtId="168" fontId="140" fillId="27" borderId="214" xfId="0" applyNumberFormat="1" applyFont="1" applyFill="1" applyBorder="1" applyAlignment="1">
      <alignment horizontal="center"/>
    </xf>
    <xf numFmtId="1" fontId="16" fillId="0" borderId="207" xfId="0" applyNumberFormat="1" applyFont="1" applyBorder="1" applyAlignment="1">
      <alignment horizontal="center"/>
    </xf>
    <xf numFmtId="1" fontId="16" fillId="0" borderId="155" xfId="0" applyNumberFormat="1" applyFont="1" applyBorder="1" applyAlignment="1">
      <alignment horizontal="center"/>
    </xf>
    <xf numFmtId="1" fontId="16" fillId="0" borderId="208" xfId="0" applyNumberFormat="1" applyFont="1" applyBorder="1" applyAlignment="1">
      <alignment horizontal="center"/>
    </xf>
    <xf numFmtId="1" fontId="16" fillId="0" borderId="156" xfId="0" applyNumberFormat="1" applyFont="1" applyBorder="1" applyAlignment="1">
      <alignment horizontal="center"/>
    </xf>
    <xf numFmtId="164" fontId="40" fillId="31" borderId="223" xfId="0" applyFont="1" applyFill="1" applyBorder="1" applyAlignment="1">
      <alignment horizontal="center"/>
    </xf>
    <xf numFmtId="164" fontId="40" fillId="31" borderId="221" xfId="0" applyFont="1" applyFill="1" applyBorder="1" applyAlignment="1">
      <alignment horizontal="center"/>
    </xf>
    <xf numFmtId="164" fontId="40" fillId="29" borderId="258" xfId="0" applyFont="1" applyFill="1" applyBorder="1" applyAlignment="1">
      <alignment horizontal="center"/>
    </xf>
    <xf numFmtId="164" fontId="40" fillId="29" borderId="221" xfId="0" applyFont="1" applyFill="1" applyBorder="1" applyAlignment="1">
      <alignment horizontal="center"/>
    </xf>
    <xf numFmtId="164" fontId="40" fillId="29" borderId="219" xfId="0" applyFont="1" applyFill="1" applyBorder="1" applyAlignment="1">
      <alignment horizontal="center"/>
    </xf>
    <xf numFmtId="164" fontId="16" fillId="33" borderId="223" xfId="0" applyFont="1" applyFill="1" applyBorder="1" applyAlignment="1">
      <alignment horizontal="center"/>
    </xf>
    <xf numFmtId="164" fontId="16" fillId="33" borderId="221" xfId="0" applyFont="1" applyFill="1" applyBorder="1" applyAlignment="1">
      <alignment horizontal="center"/>
    </xf>
    <xf numFmtId="164" fontId="16" fillId="33" borderId="219" xfId="0" applyFont="1" applyFill="1" applyBorder="1" applyAlignment="1">
      <alignment horizontal="center"/>
    </xf>
    <xf numFmtId="164" fontId="16" fillId="0" borderId="207" xfId="0" applyFont="1" applyBorder="1" applyAlignment="1">
      <alignment horizontal="center"/>
    </xf>
    <xf numFmtId="164" fontId="16" fillId="0" borderId="156" xfId="0" applyFont="1" applyBorder="1" applyAlignment="1">
      <alignment horizontal="center"/>
    </xf>
    <xf numFmtId="164" fontId="40" fillId="0" borderId="205" xfId="0" applyFont="1" applyBorder="1" applyAlignment="1">
      <alignment horizontal="left"/>
    </xf>
    <xf numFmtId="1" fontId="16" fillId="0" borderId="154" xfId="0" applyNumberFormat="1" applyFont="1" applyBorder="1" applyAlignment="1">
      <alignment horizontal="center"/>
    </xf>
    <xf numFmtId="164" fontId="65" fillId="0" borderId="234" xfId="0" applyFont="1" applyBorder="1" applyAlignment="1">
      <alignment horizontal="left"/>
    </xf>
    <xf numFmtId="164" fontId="65" fillId="0" borderId="233" xfId="0" applyFont="1" applyBorder="1" applyAlignment="1">
      <alignment horizontal="left"/>
    </xf>
    <xf numFmtId="164" fontId="35" fillId="31" borderId="224" xfId="0" applyFont="1" applyFill="1" applyBorder="1" applyAlignment="1">
      <alignment horizontal="center"/>
    </xf>
    <xf numFmtId="164" fontId="35" fillId="31" borderId="228" xfId="0" applyFont="1" applyFill="1" applyBorder="1" applyAlignment="1">
      <alignment horizontal="center"/>
    </xf>
    <xf numFmtId="164" fontId="35" fillId="31" borderId="227" xfId="0" applyFont="1" applyFill="1" applyBorder="1" applyAlignment="1">
      <alignment horizontal="center"/>
    </xf>
    <xf numFmtId="164" fontId="136" fillId="27" borderId="209" xfId="0" applyFont="1" applyFill="1" applyBorder="1" applyAlignment="1">
      <alignment horizontal="center"/>
    </xf>
    <xf numFmtId="164" fontId="136" fillId="27" borderId="153" xfId="0" applyFont="1" applyFill="1" applyBorder="1" applyAlignment="1">
      <alignment horizontal="center"/>
    </xf>
    <xf numFmtId="164" fontId="136" fillId="0" borderId="181" xfId="0" applyFont="1" applyBorder="1" applyAlignment="1">
      <alignment horizontal="center"/>
    </xf>
    <xf numFmtId="164" fontId="136" fillId="0" borderId="180" xfId="0" applyFont="1" applyBorder="1" applyAlignment="1">
      <alignment horizontal="center"/>
    </xf>
    <xf numFmtId="1" fontId="140" fillId="0" borderId="152" xfId="0" applyNumberFormat="1" applyFont="1" applyBorder="1" applyAlignment="1">
      <alignment horizontal="center"/>
    </xf>
    <xf numFmtId="1" fontId="140" fillId="0" borderId="151" xfId="0" applyNumberFormat="1" applyFont="1" applyBorder="1" applyAlignment="1">
      <alignment horizontal="center"/>
    </xf>
    <xf numFmtId="1" fontId="140" fillId="0" borderId="210" xfId="0" applyNumberFormat="1" applyFont="1" applyBorder="1" applyAlignment="1">
      <alignment horizontal="center"/>
    </xf>
    <xf numFmtId="1" fontId="140" fillId="0" borderId="209" xfId="0" applyNumberFormat="1" applyFont="1" applyBorder="1" applyAlignment="1">
      <alignment horizontal="center"/>
    </xf>
    <xf numFmtId="1" fontId="140" fillId="0" borderId="153" xfId="0" applyNumberFormat="1" applyFont="1" applyBorder="1" applyAlignment="1">
      <alignment horizontal="center"/>
    </xf>
    <xf numFmtId="164" fontId="136" fillId="27" borderId="154" xfId="0" applyFont="1" applyFill="1" applyBorder="1" applyAlignment="1">
      <alignment horizontal="left"/>
    </xf>
    <xf numFmtId="164" fontId="136" fillId="27" borderId="155" xfId="0" applyFont="1" applyFill="1" applyBorder="1" applyAlignment="1">
      <alignment horizontal="left"/>
    </xf>
    <xf numFmtId="164" fontId="136" fillId="27" borderId="156" xfId="0" applyFont="1" applyFill="1" applyBorder="1" applyAlignment="1">
      <alignment horizontal="left"/>
    </xf>
    <xf numFmtId="164" fontId="136" fillId="27" borderId="178" xfId="0" applyFont="1" applyFill="1" applyBorder="1" applyAlignment="1">
      <alignment horizontal="center"/>
    </xf>
    <xf numFmtId="164" fontId="136" fillId="27" borderId="177" xfId="0" applyFont="1" applyFill="1" applyBorder="1" applyAlignment="1">
      <alignment horizontal="center"/>
    </xf>
    <xf numFmtId="1" fontId="140" fillId="0" borderId="216" xfId="0" applyNumberFormat="1" applyFont="1" applyBorder="1" applyAlignment="1">
      <alignment horizontal="center"/>
    </xf>
    <xf numFmtId="1" fontId="140" fillId="0" borderId="215" xfId="0" applyNumberFormat="1" applyFont="1" applyBorder="1" applyAlignment="1">
      <alignment horizontal="center"/>
    </xf>
    <xf numFmtId="1" fontId="140" fillId="0" borderId="217" xfId="0" applyNumberFormat="1" applyFont="1" applyBorder="1" applyAlignment="1">
      <alignment horizontal="center"/>
    </xf>
    <xf numFmtId="1" fontId="140" fillId="0" borderId="214" xfId="0" applyNumberFormat="1" applyFont="1" applyBorder="1" applyAlignment="1">
      <alignment horizontal="center"/>
    </xf>
    <xf numFmtId="164" fontId="35" fillId="31" borderId="90" xfId="0" applyFont="1" applyFill="1" applyBorder="1" applyAlignment="1">
      <alignment horizontal="center"/>
    </xf>
    <xf numFmtId="164" fontId="35" fillId="31" borderId="194" xfId="0" applyFont="1" applyFill="1" applyBorder="1" applyAlignment="1">
      <alignment horizontal="center"/>
    </xf>
    <xf numFmtId="164" fontId="140" fillId="0" borderId="152" xfId="0" applyFont="1" applyBorder="1" applyAlignment="1">
      <alignment horizontal="left"/>
    </xf>
    <xf numFmtId="164" fontId="140" fillId="0" borderId="151" xfId="0" applyFont="1" applyBorder="1" applyAlignment="1">
      <alignment horizontal="left"/>
    </xf>
    <xf numFmtId="164" fontId="140" fillId="0" borderId="153" xfId="0" applyFont="1" applyBorder="1" applyAlignment="1">
      <alignment horizontal="left"/>
    </xf>
    <xf numFmtId="164" fontId="140" fillId="27" borderId="152" xfId="0" applyFont="1" applyFill="1" applyBorder="1" applyAlignment="1">
      <alignment horizontal="left"/>
    </xf>
    <xf numFmtId="164" fontId="140" fillId="27" borderId="151" xfId="0" applyFont="1" applyFill="1" applyBorder="1" applyAlignment="1">
      <alignment horizontal="left"/>
    </xf>
    <xf numFmtId="164" fontId="140" fillId="27" borderId="153" xfId="0" applyFont="1" applyFill="1" applyBorder="1" applyAlignment="1">
      <alignment horizontal="left"/>
    </xf>
    <xf numFmtId="9" fontId="140" fillId="0" borderId="261" xfId="0" applyNumberFormat="1" applyFont="1" applyBorder="1" applyAlignment="1">
      <alignment horizontal="center" vertical="center"/>
    </xf>
    <xf numFmtId="9" fontId="140" fillId="0" borderId="186" xfId="0" applyNumberFormat="1" applyFont="1" applyBorder="1" applyAlignment="1">
      <alignment horizontal="center" vertical="center"/>
    </xf>
    <xf numFmtId="164" fontId="137" fillId="0" borderId="260" xfId="0" applyFont="1" applyBorder="1" applyAlignment="1">
      <alignment horizontal="center" wrapText="1"/>
    </xf>
    <xf numFmtId="164" fontId="137" fillId="0" borderId="253" xfId="0" applyFont="1" applyBorder="1" applyAlignment="1">
      <alignment horizontal="center" wrapText="1"/>
    </xf>
    <xf numFmtId="164" fontId="137" fillId="0" borderId="259" xfId="0" applyFont="1" applyBorder="1" applyAlignment="1">
      <alignment horizontal="center" wrapText="1"/>
    </xf>
    <xf numFmtId="164" fontId="137" fillId="0" borderId="169" xfId="0" applyFont="1" applyBorder="1" applyAlignment="1">
      <alignment horizontal="center" wrapText="1"/>
    </xf>
    <xf numFmtId="1" fontId="140" fillId="27" borderId="152" xfId="0" applyNumberFormat="1" applyFont="1" applyFill="1" applyBorder="1" applyAlignment="1">
      <alignment horizontal="center"/>
    </xf>
    <xf numFmtId="1" fontId="140" fillId="27" borderId="151" xfId="0" applyNumberFormat="1" applyFont="1" applyFill="1" applyBorder="1" applyAlignment="1">
      <alignment horizontal="center"/>
    </xf>
    <xf numFmtId="1" fontId="140" fillId="27" borderId="210" xfId="0" applyNumberFormat="1" applyFont="1" applyFill="1" applyBorder="1" applyAlignment="1">
      <alignment horizontal="center"/>
    </xf>
    <xf numFmtId="1" fontId="140" fillId="27" borderId="209" xfId="0" applyNumberFormat="1" applyFont="1" applyFill="1" applyBorder="1" applyAlignment="1">
      <alignment horizontal="center"/>
    </xf>
    <xf numFmtId="1" fontId="140" fillId="27" borderId="153" xfId="0" applyNumberFormat="1" applyFont="1" applyFill="1" applyBorder="1" applyAlignment="1">
      <alignment horizontal="center"/>
    </xf>
    <xf numFmtId="1" fontId="140" fillId="0" borderId="218" xfId="0" applyNumberFormat="1" applyFont="1" applyBorder="1" applyAlignment="1">
      <alignment horizontal="center"/>
    </xf>
    <xf numFmtId="164" fontId="132" fillId="31" borderId="87" xfId="0" applyFont="1" applyFill="1" applyBorder="1" applyAlignment="1">
      <alignment horizontal="center" wrapText="1"/>
    </xf>
    <xf numFmtId="164" fontId="132" fillId="31" borderId="193" xfId="0" applyFont="1" applyFill="1" applyBorder="1" applyAlignment="1">
      <alignment horizontal="center" wrapText="1"/>
    </xf>
    <xf numFmtId="164" fontId="130" fillId="31" borderId="89" xfId="0" applyFont="1" applyFill="1" applyBorder="1" applyAlignment="1">
      <alignment horizontal="center"/>
    </xf>
    <xf numFmtId="164" fontId="130" fillId="31" borderId="17" xfId="0" applyFont="1" applyFill="1" applyBorder="1" applyAlignment="1">
      <alignment horizontal="center"/>
    </xf>
    <xf numFmtId="164" fontId="130" fillId="31" borderId="262" xfId="0" applyFont="1" applyFill="1" applyBorder="1" applyAlignment="1">
      <alignment horizontal="center"/>
    </xf>
    <xf numFmtId="164" fontId="130" fillId="31" borderId="230" xfId="0" applyFont="1" applyFill="1" applyBorder="1" applyAlignment="1">
      <alignment horizontal="center"/>
    </xf>
    <xf numFmtId="164" fontId="65" fillId="0" borderId="202" xfId="0" applyFont="1" applyBorder="1" applyAlignment="1">
      <alignment horizontal="right" vertical="center" wrapText="1"/>
    </xf>
    <xf numFmtId="164" fontId="65" fillId="0" borderId="155" xfId="0" applyFont="1" applyBorder="1" applyAlignment="1">
      <alignment horizontal="right" vertical="center" wrapText="1"/>
    </xf>
    <xf numFmtId="164" fontId="65" fillId="0" borderId="201" xfId="0" applyFont="1" applyBorder="1" applyAlignment="1">
      <alignment horizontal="right" vertical="center" wrapText="1"/>
    </xf>
    <xf numFmtId="164" fontId="40" fillId="0" borderId="202" xfId="0" applyFont="1" applyBorder="1" applyAlignment="1">
      <alignment horizontal="left" vertical="center" wrapText="1"/>
    </xf>
    <xf numFmtId="164" fontId="40" fillId="0" borderId="155" xfId="0" applyFont="1" applyBorder="1" applyAlignment="1">
      <alignment horizontal="left" vertical="center" wrapText="1"/>
    </xf>
    <xf numFmtId="164" fontId="40" fillId="0" borderId="201" xfId="0" applyFont="1" applyBorder="1" applyAlignment="1">
      <alignment horizontal="left" vertical="center" wrapText="1"/>
    </xf>
    <xf numFmtId="164" fontId="40" fillId="0" borderId="202" xfId="0" applyFont="1" applyBorder="1" applyAlignment="1">
      <alignment horizontal="left" vertical="top" wrapText="1"/>
    </xf>
    <xf numFmtId="164" fontId="16" fillId="0" borderId="156" xfId="0" applyFont="1" applyBorder="1" applyAlignment="1">
      <alignment horizontal="left" wrapText="1"/>
    </xf>
    <xf numFmtId="164" fontId="140" fillId="27" borderId="218" xfId="0" applyFont="1" applyFill="1" applyBorder="1" applyAlignment="1">
      <alignment horizontal="left"/>
    </xf>
    <xf numFmtId="164" fontId="140" fillId="27" borderId="215" xfId="0" applyFont="1" applyFill="1" applyBorder="1" applyAlignment="1">
      <alignment horizontal="left"/>
    </xf>
    <xf numFmtId="164" fontId="140" fillId="27" borderId="214" xfId="0" applyFont="1" applyFill="1" applyBorder="1" applyAlignment="1">
      <alignment horizontal="left"/>
    </xf>
    <xf numFmtId="164" fontId="136" fillId="27" borderId="186" xfId="0" applyFont="1" applyFill="1" applyBorder="1" applyAlignment="1">
      <alignment horizontal="center"/>
    </xf>
    <xf numFmtId="164" fontId="136" fillId="27" borderId="185" xfId="0" applyFont="1" applyFill="1" applyBorder="1" applyAlignment="1">
      <alignment horizontal="center"/>
    </xf>
    <xf numFmtId="164" fontId="136" fillId="0" borderId="152" xfId="0" applyFont="1" applyBorder="1" applyAlignment="1">
      <alignment horizontal="left"/>
    </xf>
    <xf numFmtId="164" fontId="136" fillId="0" borderId="151" xfId="0" applyFont="1" applyBorder="1" applyAlignment="1">
      <alignment horizontal="left"/>
    </xf>
    <xf numFmtId="164" fontId="136" fillId="0" borderId="153" xfId="0" applyFont="1" applyBorder="1" applyAlignment="1">
      <alignment horizontal="left"/>
    </xf>
    <xf numFmtId="164" fontId="16" fillId="0" borderId="237" xfId="0" applyFont="1" applyBorder="1" applyAlignment="1">
      <alignment horizontal="left" wrapText="1"/>
    </xf>
    <xf numFmtId="164" fontId="16" fillId="0" borderId="151" xfId="0" applyFont="1" applyBorder="1" applyAlignment="1">
      <alignment horizontal="left" wrapText="1"/>
    </xf>
    <xf numFmtId="164" fontId="16" fillId="0" borderId="153" xfId="0" applyFont="1" applyBorder="1" applyAlignment="1">
      <alignment horizontal="left" wrapText="1"/>
    </xf>
    <xf numFmtId="168" fontId="136" fillId="27" borderId="152" xfId="0" applyNumberFormat="1" applyFont="1" applyFill="1" applyBorder="1" applyAlignment="1" applyProtection="1">
      <alignment horizontal="center"/>
      <protection locked="0"/>
    </xf>
    <xf numFmtId="168" fontId="136" fillId="27" borderId="151" xfId="0" applyNumberFormat="1" applyFont="1" applyFill="1" applyBorder="1" applyAlignment="1" applyProtection="1">
      <alignment horizontal="center"/>
      <protection locked="0"/>
    </xf>
    <xf numFmtId="168" fontId="136" fillId="27" borderId="210" xfId="0" applyNumberFormat="1" applyFont="1" applyFill="1" applyBorder="1" applyAlignment="1" applyProtection="1">
      <alignment horizontal="center"/>
      <protection locked="0"/>
    </xf>
    <xf numFmtId="168" fontId="140" fillId="27" borderId="254" xfId="0" applyNumberFormat="1" applyFont="1" applyFill="1" applyBorder="1" applyAlignment="1">
      <alignment horizontal="center"/>
    </xf>
    <xf numFmtId="168" fontId="140" fillId="27" borderId="175" xfId="0" applyNumberFormat="1" applyFont="1" applyFill="1" applyBorder="1" applyAlignment="1">
      <alignment horizontal="center"/>
    </xf>
    <xf numFmtId="168" fontId="140" fillId="27" borderId="174" xfId="0" applyNumberFormat="1" applyFont="1" applyFill="1" applyBorder="1" applyAlignment="1">
      <alignment horizontal="center"/>
    </xf>
    <xf numFmtId="168" fontId="136" fillId="27" borderId="173" xfId="0" applyNumberFormat="1" applyFont="1" applyFill="1" applyBorder="1" applyAlignment="1" applyProtection="1">
      <alignment horizontal="center"/>
      <protection locked="0"/>
    </xf>
    <xf numFmtId="168" fontId="136" fillId="27" borderId="0" xfId="0" applyNumberFormat="1" applyFont="1" applyFill="1" applyAlignment="1" applyProtection="1">
      <alignment horizontal="center"/>
      <protection locked="0"/>
    </xf>
    <xf numFmtId="168" fontId="136" fillId="27" borderId="19" xfId="0" applyNumberFormat="1" applyFont="1" applyFill="1" applyBorder="1" applyAlignment="1" applyProtection="1">
      <alignment horizontal="center"/>
      <protection locked="0"/>
    </xf>
    <xf numFmtId="168" fontId="136" fillId="27" borderId="14" xfId="0" applyNumberFormat="1" applyFont="1" applyFill="1" applyBorder="1" applyAlignment="1" applyProtection="1">
      <alignment horizontal="center"/>
      <protection locked="0"/>
    </xf>
    <xf numFmtId="168" fontId="140" fillId="27" borderId="253" xfId="0" applyNumberFormat="1" applyFont="1" applyFill="1" applyBorder="1" applyAlignment="1">
      <alignment horizontal="center"/>
    </xf>
    <xf numFmtId="168" fontId="140" fillId="0" borderId="167" xfId="0" applyNumberFormat="1" applyFont="1" applyBorder="1" applyAlignment="1" applyProtection="1">
      <alignment horizontal="center"/>
      <protection locked="0"/>
    </xf>
    <xf numFmtId="168" fontId="140" fillId="0" borderId="168" xfId="0" applyNumberFormat="1" applyFont="1" applyBorder="1" applyAlignment="1" applyProtection="1">
      <alignment horizontal="center"/>
      <protection locked="0"/>
    </xf>
    <xf numFmtId="168" fontId="140" fillId="0" borderId="169" xfId="0" applyNumberFormat="1" applyFont="1" applyBorder="1" applyAlignment="1" applyProtection="1">
      <alignment horizontal="center"/>
      <protection locked="0"/>
    </xf>
    <xf numFmtId="168" fontId="136" fillId="0" borderId="240" xfId="0" applyNumberFormat="1" applyFont="1" applyBorder="1" applyAlignment="1" applyProtection="1">
      <alignment horizontal="center"/>
      <protection locked="0"/>
    </xf>
    <xf numFmtId="168" fontId="136" fillId="0" borderId="151" xfId="0" applyNumberFormat="1" applyFont="1" applyBorder="1" applyAlignment="1" applyProtection="1">
      <alignment horizontal="center"/>
      <protection locked="0"/>
    </xf>
    <xf numFmtId="168" fontId="136" fillId="0" borderId="210" xfId="0" applyNumberFormat="1" applyFont="1" applyBorder="1" applyAlignment="1" applyProtection="1">
      <alignment horizontal="center"/>
      <protection locked="0"/>
    </xf>
    <xf numFmtId="168" fontId="136" fillId="0" borderId="152" xfId="0" applyNumberFormat="1" applyFont="1" applyBorder="1" applyAlignment="1" applyProtection="1">
      <alignment horizontal="center"/>
      <protection locked="0"/>
    </xf>
    <xf numFmtId="168" fontId="136" fillId="27" borderId="250" xfId="0" applyNumberFormat="1" applyFont="1" applyFill="1" applyBorder="1" applyAlignment="1" applyProtection="1">
      <alignment horizontal="center"/>
      <protection locked="0"/>
    </xf>
    <xf numFmtId="168" fontId="136" fillId="27" borderId="247" xfId="0" applyNumberFormat="1" applyFont="1" applyFill="1" applyBorder="1" applyAlignment="1" applyProtection="1">
      <alignment horizontal="center"/>
      <protection locked="0"/>
    </xf>
    <xf numFmtId="168" fontId="136" fillId="27" borderId="249" xfId="0" applyNumberFormat="1" applyFont="1" applyFill="1" applyBorder="1" applyAlignment="1" applyProtection="1">
      <alignment horizontal="center"/>
      <protection locked="0"/>
    </xf>
    <xf numFmtId="168" fontId="136" fillId="27" borderId="248" xfId="0" applyNumberFormat="1" applyFont="1" applyFill="1" applyBorder="1" applyAlignment="1" applyProtection="1">
      <alignment horizontal="center"/>
      <protection locked="0"/>
    </xf>
    <xf numFmtId="1" fontId="40" fillId="0" borderId="245" xfId="0" applyNumberFormat="1" applyFont="1" applyBorder="1" applyAlignment="1" applyProtection="1">
      <alignment horizontal="center"/>
      <protection locked="0"/>
    </xf>
    <xf numFmtId="1" fontId="40" fillId="0" borderId="168" xfId="0" applyNumberFormat="1" applyFont="1" applyBorder="1" applyAlignment="1" applyProtection="1">
      <alignment horizontal="center"/>
      <protection locked="0"/>
    </xf>
    <xf numFmtId="1" fontId="40" fillId="0" borderId="244" xfId="0" applyNumberFormat="1" applyFont="1" applyBorder="1" applyAlignment="1" applyProtection="1">
      <alignment horizontal="center"/>
      <protection locked="0"/>
    </xf>
    <xf numFmtId="1" fontId="40" fillId="0" borderId="167" xfId="0" applyNumberFormat="1" applyFont="1" applyBorder="1" applyAlignment="1" applyProtection="1">
      <alignment horizontal="center"/>
      <protection locked="0"/>
    </xf>
    <xf numFmtId="168" fontId="140" fillId="0" borderId="152" xfId="0" applyNumberFormat="1" applyFont="1" applyBorder="1" applyAlignment="1" applyProtection="1">
      <alignment horizontal="center"/>
      <protection locked="0"/>
    </xf>
    <xf numFmtId="168" fontId="140" fillId="0" borderId="151" xfId="0" applyNumberFormat="1" applyFont="1" applyBorder="1" applyAlignment="1" applyProtection="1">
      <alignment horizontal="center"/>
      <protection locked="0"/>
    </xf>
    <xf numFmtId="168" fontId="140" fillId="0" borderId="210" xfId="0" applyNumberFormat="1" applyFont="1" applyBorder="1" applyAlignment="1" applyProtection="1">
      <alignment horizontal="center"/>
      <protection locked="0"/>
    </xf>
    <xf numFmtId="168" fontId="140" fillId="0" borderId="240" xfId="0" applyNumberFormat="1" applyFont="1" applyBorder="1" applyAlignment="1" applyProtection="1">
      <alignment horizontal="center"/>
      <protection locked="0"/>
    </xf>
    <xf numFmtId="168" fontId="140" fillId="27" borderId="152" xfId="0" applyNumberFormat="1" applyFont="1" applyFill="1" applyBorder="1" applyAlignment="1" applyProtection="1">
      <alignment horizontal="center"/>
      <protection locked="0"/>
    </xf>
    <xf numFmtId="168" fontId="140" fillId="27" borderId="151" xfId="0" applyNumberFormat="1" applyFont="1" applyFill="1" applyBorder="1" applyAlignment="1" applyProtection="1">
      <alignment horizontal="center"/>
      <protection locked="0"/>
    </xf>
    <xf numFmtId="168" fontId="140" fillId="27" borderId="210" xfId="0" applyNumberFormat="1" applyFont="1" applyFill="1" applyBorder="1" applyAlignment="1" applyProtection="1">
      <alignment horizontal="center"/>
      <protection locked="0"/>
    </xf>
    <xf numFmtId="168" fontId="140" fillId="27" borderId="173" xfId="0" applyNumberFormat="1" applyFont="1" applyFill="1" applyBorder="1" applyAlignment="1" applyProtection="1">
      <alignment horizontal="center"/>
      <protection locked="0"/>
    </xf>
    <xf numFmtId="168" fontId="140" fillId="27" borderId="0" xfId="0" applyNumberFormat="1" applyFont="1" applyFill="1" applyAlignment="1" applyProtection="1">
      <alignment horizontal="center"/>
      <protection locked="0"/>
    </xf>
    <xf numFmtId="168" fontId="140" fillId="27" borderId="19" xfId="0" applyNumberFormat="1" applyFont="1" applyFill="1" applyBorder="1" applyAlignment="1" applyProtection="1">
      <alignment horizontal="center"/>
      <protection locked="0"/>
    </xf>
    <xf numFmtId="168" fontId="140" fillId="27" borderId="14" xfId="0" applyNumberFormat="1" applyFont="1" applyFill="1" applyBorder="1" applyAlignment="1" applyProtection="1">
      <alignment horizontal="center"/>
      <protection locked="0"/>
    </xf>
    <xf numFmtId="168" fontId="140" fillId="27" borderId="218" xfId="0" applyNumberFormat="1" applyFont="1" applyFill="1" applyBorder="1" applyAlignment="1" applyProtection="1">
      <alignment horizontal="center"/>
      <protection locked="0"/>
    </xf>
    <xf numFmtId="168" fontId="140" fillId="27" borderId="215" xfId="0" applyNumberFormat="1" applyFont="1" applyFill="1" applyBorder="1" applyAlignment="1" applyProtection="1">
      <alignment horizontal="center"/>
      <protection locked="0"/>
    </xf>
    <xf numFmtId="168" fontId="140" fillId="27" borderId="217" xfId="0" applyNumberFormat="1" applyFont="1" applyFill="1" applyBorder="1" applyAlignment="1" applyProtection="1">
      <alignment horizontal="center"/>
      <protection locked="0"/>
    </xf>
    <xf numFmtId="168" fontId="140" fillId="27" borderId="176" xfId="0" applyNumberFormat="1" applyFont="1" applyFill="1" applyBorder="1" applyAlignment="1" applyProtection="1">
      <alignment horizontal="center"/>
      <protection locked="0"/>
    </xf>
    <xf numFmtId="168" fontId="140" fillId="27" borderId="175" xfId="0" applyNumberFormat="1" applyFont="1" applyFill="1" applyBorder="1" applyAlignment="1" applyProtection="1">
      <alignment horizontal="center"/>
      <protection locked="0"/>
    </xf>
    <xf numFmtId="168" fontId="140" fillId="27" borderId="263" xfId="0" applyNumberFormat="1" applyFont="1" applyFill="1" applyBorder="1" applyAlignment="1" applyProtection="1">
      <alignment horizontal="center"/>
      <protection locked="0"/>
    </xf>
    <xf numFmtId="168" fontId="140" fillId="27" borderId="254" xfId="0" applyNumberFormat="1" applyFont="1" applyFill="1" applyBorder="1" applyAlignment="1" applyProtection="1">
      <alignment horizontal="center"/>
      <protection locked="0"/>
    </xf>
    <xf numFmtId="164" fontId="136" fillId="0" borderId="254" xfId="0" applyFont="1" applyBorder="1" applyAlignment="1" applyProtection="1">
      <alignment horizontal="left" vertical="top" wrapText="1"/>
      <protection locked="0"/>
    </xf>
    <xf numFmtId="164" fontId="136" fillId="0" borderId="175" xfId="0" applyFont="1" applyBorder="1" applyAlignment="1" applyProtection="1">
      <alignment horizontal="left" vertical="top" wrapText="1"/>
      <protection locked="0"/>
    </xf>
    <xf numFmtId="164" fontId="136" fillId="0" borderId="253" xfId="0" applyFont="1" applyBorder="1" applyAlignment="1" applyProtection="1">
      <alignment horizontal="left" vertical="top" wrapText="1"/>
      <protection locked="0"/>
    </xf>
    <xf numFmtId="164" fontId="136" fillId="0" borderId="14" xfId="0" applyFont="1" applyBorder="1" applyAlignment="1" applyProtection="1">
      <alignment horizontal="left" vertical="top" wrapText="1"/>
      <protection locked="0"/>
    </xf>
    <xf numFmtId="164" fontId="136" fillId="0" borderId="0" xfId="0" applyFont="1" applyAlignment="1" applyProtection="1">
      <alignment horizontal="left" vertical="top" wrapText="1"/>
      <protection locked="0"/>
    </xf>
    <xf numFmtId="164" fontId="136" fillId="0" borderId="18" xfId="0" applyFont="1" applyBorder="1" applyAlignment="1" applyProtection="1">
      <alignment horizontal="left" vertical="top" wrapText="1"/>
      <protection locked="0"/>
    </xf>
    <xf numFmtId="164" fontId="16" fillId="0" borderId="206" xfId="0" applyFont="1" applyBorder="1" applyAlignment="1" applyProtection="1">
      <alignment horizontal="left"/>
      <protection locked="0"/>
    </xf>
    <xf numFmtId="164" fontId="16" fillId="0" borderId="205" xfId="0" applyFont="1" applyBorder="1" applyAlignment="1" applyProtection="1">
      <alignment horizontal="left"/>
      <protection locked="0"/>
    </xf>
    <xf numFmtId="164" fontId="40" fillId="0" borderId="205" xfId="0" applyFont="1" applyBorder="1" applyAlignment="1" applyProtection="1">
      <alignment horizontal="left"/>
      <protection locked="0"/>
    </xf>
    <xf numFmtId="164" fontId="16" fillId="0" borderId="204" xfId="0" applyFont="1" applyBorder="1" applyAlignment="1" applyProtection="1">
      <alignment horizontal="left"/>
      <protection locked="0"/>
    </xf>
    <xf numFmtId="164" fontId="16" fillId="0" borderId="203" xfId="0" applyFont="1" applyBorder="1" applyAlignment="1" applyProtection="1">
      <alignment horizontal="left"/>
      <protection locked="0"/>
    </xf>
    <xf numFmtId="164" fontId="16" fillId="0" borderId="200" xfId="0" applyFont="1" applyBorder="1" applyAlignment="1" applyProtection="1">
      <alignment horizontal="left"/>
      <protection locked="0"/>
    </xf>
    <xf numFmtId="164" fontId="16" fillId="0" borderId="234" xfId="0" applyFont="1" applyBorder="1" applyAlignment="1" applyProtection="1">
      <alignment horizontal="left"/>
      <protection locked="0"/>
    </xf>
    <xf numFmtId="164" fontId="40" fillId="0" borderId="202" xfId="0" applyFont="1" applyBorder="1" applyAlignment="1" applyProtection="1">
      <alignment horizontal="right" wrapText="1"/>
      <protection locked="0"/>
    </xf>
    <xf numFmtId="164" fontId="40" fillId="0" borderId="155" xfId="0" applyFont="1" applyBorder="1" applyAlignment="1" applyProtection="1">
      <alignment horizontal="right" wrapText="1"/>
      <protection locked="0"/>
    </xf>
    <xf numFmtId="164" fontId="16" fillId="0" borderId="155" xfId="0" applyFont="1" applyBorder="1" applyAlignment="1" applyProtection="1">
      <alignment horizontal="left"/>
      <protection locked="0"/>
    </xf>
    <xf numFmtId="164" fontId="16" fillId="0" borderId="201" xfId="0" applyFont="1" applyBorder="1" applyAlignment="1" applyProtection="1">
      <alignment horizontal="left"/>
      <protection locked="0"/>
    </xf>
    <xf numFmtId="164" fontId="65" fillId="0" borderId="234" xfId="0" applyFont="1" applyBorder="1" applyAlignment="1" applyProtection="1">
      <alignment horizontal="left"/>
      <protection locked="0"/>
    </xf>
    <xf numFmtId="164" fontId="65" fillId="0" borderId="233" xfId="0" applyFont="1" applyBorder="1" applyAlignment="1" applyProtection="1">
      <alignment horizontal="left"/>
      <protection locked="0"/>
    </xf>
    <xf numFmtId="164" fontId="137" fillId="0" borderId="216" xfId="0" applyFont="1" applyBorder="1" applyAlignment="1">
      <alignment horizontal="center" wrapText="1"/>
    </xf>
    <xf numFmtId="164" fontId="137" fillId="0" borderId="214" xfId="0" applyFont="1" applyBorder="1" applyAlignment="1">
      <alignment horizontal="center" wrapText="1"/>
    </xf>
    <xf numFmtId="164" fontId="137" fillId="27" borderId="209" xfId="0" applyFont="1" applyFill="1" applyBorder="1" applyAlignment="1">
      <alignment horizontal="center" wrapText="1"/>
    </xf>
    <xf numFmtId="164" fontId="137" fillId="27" borderId="153" xfId="0" applyFont="1" applyFill="1" applyBorder="1" applyAlignment="1">
      <alignment horizontal="center" wrapText="1"/>
    </xf>
    <xf numFmtId="164" fontId="16" fillId="0" borderId="0" xfId="0" applyFont="1" applyAlignment="1">
      <alignment vertical="top" wrapText="1"/>
    </xf>
    <xf numFmtId="164" fontId="66" fillId="0" borderId="0" xfId="0" applyFont="1" applyAlignment="1">
      <alignment vertical="top" wrapText="1"/>
    </xf>
    <xf numFmtId="164" fontId="16" fillId="0" borderId="0" xfId="0" applyFont="1" applyAlignment="1">
      <alignment vertical="top"/>
    </xf>
    <xf numFmtId="164" fontId="35" fillId="0" borderId="0" xfId="0" applyFont="1" applyAlignment="1">
      <alignment vertical="top" wrapText="1"/>
    </xf>
    <xf numFmtId="164" fontId="16" fillId="0" borderId="0" xfId="0" applyFont="1" applyAlignment="1">
      <alignment horizontal="right" wrapText="1"/>
    </xf>
    <xf numFmtId="49" fontId="136" fillId="31" borderId="12" xfId="0" applyNumberFormat="1" applyFont="1" applyFill="1" applyBorder="1" applyAlignment="1" applyProtection="1">
      <alignment horizontal="left"/>
      <protection locked="0"/>
    </xf>
    <xf numFmtId="0" fontId="136" fillId="31" borderId="12" xfId="0" applyNumberFormat="1" applyFont="1" applyFill="1" applyBorder="1" applyAlignment="1" applyProtection="1">
      <alignment horizontal="left"/>
      <protection locked="0"/>
    </xf>
    <xf numFmtId="14" fontId="136" fillId="31" borderId="12" xfId="0" applyNumberFormat="1" applyFont="1" applyFill="1" applyBorder="1" applyAlignment="1" applyProtection="1">
      <alignment horizontal="left"/>
      <protection locked="0"/>
    </xf>
    <xf numFmtId="164" fontId="66" fillId="0" borderId="24" xfId="0" applyFont="1" applyBorder="1" applyAlignment="1" applyProtection="1">
      <alignment horizontal="left" vertical="top" wrapText="1"/>
      <protection locked="0"/>
    </xf>
    <xf numFmtId="164" fontId="16" fillId="0" borderId="11" xfId="0" applyFont="1" applyBorder="1" applyAlignment="1" applyProtection="1">
      <alignment horizontal="left" vertical="top" wrapText="1"/>
      <protection locked="0"/>
    </xf>
    <xf numFmtId="164" fontId="16" fillId="0" borderId="22" xfId="0" applyFont="1" applyBorder="1" applyAlignment="1" applyProtection="1">
      <alignment horizontal="left" vertical="top" wrapText="1"/>
      <protection locked="0"/>
    </xf>
    <xf numFmtId="164" fontId="16" fillId="0" borderId="26" xfId="0" applyFont="1" applyBorder="1" applyAlignment="1" applyProtection="1">
      <alignment horizontal="left" vertical="top" wrapText="1"/>
      <protection locked="0"/>
    </xf>
    <xf numFmtId="164" fontId="16" fillId="0" borderId="12" xfId="0" applyFont="1" applyBorder="1" applyAlignment="1" applyProtection="1">
      <alignment horizontal="left" vertical="top" wrapText="1"/>
      <protection locked="0"/>
    </xf>
    <xf numFmtId="164" fontId="16" fillId="0" borderId="13" xfId="0" applyFont="1" applyBorder="1" applyAlignment="1" applyProtection="1">
      <alignment horizontal="left" vertical="top" wrapText="1"/>
      <protection locked="0"/>
    </xf>
    <xf numFmtId="164" fontId="16" fillId="0" borderId="1" xfId="0" applyFont="1" applyBorder="1" applyAlignment="1">
      <alignment horizontal="right" vertical="center" wrapText="1"/>
    </xf>
    <xf numFmtId="164" fontId="16" fillId="0" borderId="12" xfId="0" applyFont="1" applyBorder="1" applyAlignment="1">
      <alignment wrapText="1"/>
    </xf>
    <xf numFmtId="164" fontId="16" fillId="0" borderId="9" xfId="0" applyFont="1" applyBorder="1" applyAlignment="1">
      <alignment wrapText="1"/>
    </xf>
    <xf numFmtId="164" fontId="16" fillId="0" borderId="24" xfId="0" applyFont="1" applyBorder="1" applyAlignment="1">
      <alignment horizontal="center" wrapText="1"/>
    </xf>
    <xf numFmtId="164" fontId="16" fillId="0" borderId="11" xfId="0" applyFont="1" applyBorder="1" applyAlignment="1">
      <alignment horizontal="center" wrapText="1"/>
    </xf>
    <xf numFmtId="164" fontId="16" fillId="0" borderId="22" xfId="0" applyFont="1" applyBorder="1" applyAlignment="1">
      <alignment horizontal="center" wrapText="1"/>
    </xf>
    <xf numFmtId="164" fontId="16" fillId="0" borderId="80" xfId="0" applyFont="1" applyBorder="1" applyAlignment="1">
      <alignment horizontal="center" vertical="center" wrapText="1"/>
    </xf>
    <xf numFmtId="164" fontId="16" fillId="0" borderId="193" xfId="0" applyFont="1" applyBorder="1" applyAlignment="1">
      <alignment horizontal="center" vertical="center" wrapText="1"/>
    </xf>
    <xf numFmtId="164" fontId="136" fillId="31" borderId="265" xfId="0" applyFont="1" applyFill="1" applyBorder="1" applyAlignment="1">
      <alignment horizontal="center" vertical="center" wrapText="1"/>
    </xf>
    <xf numFmtId="164" fontId="136" fillId="31" borderId="247" xfId="0" applyFont="1" applyFill="1" applyBorder="1" applyAlignment="1">
      <alignment horizontal="center" vertical="center" wrapText="1"/>
    </xf>
    <xf numFmtId="164" fontId="136" fillId="31" borderId="249" xfId="0" applyFont="1" applyFill="1" applyBorder="1" applyAlignment="1">
      <alignment horizontal="center" vertical="center" wrapText="1"/>
    </xf>
    <xf numFmtId="164" fontId="16" fillId="0" borderId="80" xfId="0" applyFont="1" applyBorder="1" applyAlignment="1">
      <alignment horizontal="center" wrapText="1"/>
    </xf>
    <xf numFmtId="164" fontId="16" fillId="0" borderId="23" xfId="0" applyFont="1" applyBorder="1" applyAlignment="1">
      <alignment horizontal="center" vertical="center" wrapText="1"/>
    </xf>
    <xf numFmtId="164" fontId="16" fillId="0" borderId="0" xfId="0" applyFont="1" applyAlignment="1">
      <alignment horizontal="center" vertical="center" wrapText="1"/>
    </xf>
    <xf numFmtId="164" fontId="16" fillId="0" borderId="19" xfId="0" applyFont="1" applyBorder="1" applyAlignment="1">
      <alignment horizontal="center" vertical="center" wrapText="1"/>
    </xf>
    <xf numFmtId="164" fontId="147" fillId="0" borderId="0" xfId="0" applyFont="1" applyAlignment="1">
      <alignment horizontal="center"/>
    </xf>
    <xf numFmtId="164" fontId="146" fillId="0" borderId="0" xfId="0" applyFont="1" applyAlignment="1">
      <alignment horizontal="center" vertical="center"/>
    </xf>
    <xf numFmtId="164" fontId="16" fillId="31" borderId="265" xfId="0" applyFont="1" applyFill="1" applyBorder="1" applyAlignment="1" applyProtection="1">
      <alignment horizontal="center" vertical="center" wrapText="1"/>
      <protection locked="0"/>
    </xf>
    <xf numFmtId="164" fontId="16" fillId="31" borderId="247" xfId="0" applyFont="1" applyFill="1" applyBorder="1" applyAlignment="1" applyProtection="1">
      <alignment horizontal="center" vertical="center" wrapText="1"/>
      <protection locked="0"/>
    </xf>
    <xf numFmtId="164" fontId="16" fillId="31" borderId="249" xfId="0" applyFont="1" applyFill="1" applyBorder="1" applyAlignment="1" applyProtection="1">
      <alignment horizontal="center" vertical="center" wrapText="1"/>
      <protection locked="0"/>
    </xf>
    <xf numFmtId="164" fontId="30" fillId="0" borderId="0" xfId="0" applyFont="1" applyAlignment="1">
      <alignment horizontal="center" vertical="top"/>
    </xf>
    <xf numFmtId="164" fontId="35" fillId="5" borderId="1" xfId="0" applyFont="1" applyFill="1" applyBorder="1" applyAlignment="1">
      <alignment horizontal="center"/>
    </xf>
    <xf numFmtId="164" fontId="16" fillId="0" borderId="0" xfId="0" applyFont="1" applyAlignment="1" applyProtection="1">
      <alignment horizontal="left" vertical="top" wrapText="1"/>
      <protection locked="0"/>
    </xf>
    <xf numFmtId="164" fontId="40" fillId="0" borderId="0" xfId="0" applyFont="1" applyAlignment="1">
      <alignment horizontal="center"/>
    </xf>
    <xf numFmtId="164" fontId="24" fillId="4" borderId="15" xfId="0" applyFont="1" applyFill="1" applyBorder="1" applyAlignment="1">
      <alignment horizontal="center"/>
    </xf>
    <xf numFmtId="164" fontId="24" fillId="4" borderId="16" xfId="0" applyFont="1" applyFill="1" applyBorder="1" applyAlignment="1">
      <alignment horizontal="center"/>
    </xf>
    <xf numFmtId="164" fontId="24" fillId="4" borderId="17" xfId="0" applyFont="1" applyFill="1" applyBorder="1" applyAlignment="1">
      <alignment horizontal="center"/>
    </xf>
    <xf numFmtId="164" fontId="15" fillId="0" borderId="152" xfId="0" applyFont="1" applyBorder="1" applyAlignment="1" applyProtection="1">
      <alignment horizontal="left" vertical="top" wrapText="1"/>
      <protection locked="0"/>
    </xf>
    <xf numFmtId="164" fontId="0" fillId="0" borderId="151" xfId="0" applyBorder="1" applyAlignment="1">
      <alignment horizontal="left" vertical="top" wrapText="1"/>
    </xf>
    <xf numFmtId="164" fontId="0" fillId="0" borderId="153" xfId="0" applyBorder="1" applyAlignment="1">
      <alignment horizontal="left" vertical="top" wrapText="1"/>
    </xf>
    <xf numFmtId="164" fontId="15" fillId="0" borderId="167" xfId="0" applyFont="1" applyBorder="1" applyAlignment="1">
      <alignment vertical="top" wrapText="1"/>
    </xf>
    <xf numFmtId="164" fontId="0" fillId="0" borderId="168" xfId="0" applyBorder="1" applyAlignment="1">
      <alignment vertical="top" wrapText="1"/>
    </xf>
    <xf numFmtId="164" fontId="0" fillId="0" borderId="169" xfId="0" applyBorder="1" applyAlignment="1">
      <alignment vertical="top" wrapText="1"/>
    </xf>
    <xf numFmtId="164" fontId="15" fillId="20" borderId="24" xfId="0" applyFont="1" applyFill="1" applyBorder="1" applyAlignment="1">
      <alignment vertical="center" wrapText="1"/>
    </xf>
    <xf numFmtId="164" fontId="15" fillId="20" borderId="11" xfId="0" applyFont="1" applyFill="1" applyBorder="1" applyAlignment="1">
      <alignment vertical="center" wrapText="1"/>
    </xf>
    <xf numFmtId="164" fontId="15" fillId="20" borderId="22" xfId="0" applyFont="1" applyFill="1" applyBorder="1" applyAlignment="1">
      <alignment vertical="center" wrapText="1"/>
    </xf>
    <xf numFmtId="164" fontId="15" fillId="20" borderId="23" xfId="0" applyFont="1" applyFill="1" applyBorder="1" applyAlignment="1">
      <alignment vertical="center" wrapText="1"/>
    </xf>
    <xf numFmtId="164" fontId="15" fillId="20" borderId="0" xfId="0" applyFont="1" applyFill="1" applyAlignment="1">
      <alignment vertical="center" wrapText="1"/>
    </xf>
    <xf numFmtId="164" fontId="15" fillId="20" borderId="19" xfId="0" applyFont="1" applyFill="1" applyBorder="1" applyAlignment="1">
      <alignment vertical="center" wrapText="1"/>
    </xf>
    <xf numFmtId="164" fontId="15" fillId="20" borderId="26" xfId="0" applyFont="1" applyFill="1" applyBorder="1" applyAlignment="1">
      <alignment vertical="center" wrapText="1"/>
    </xf>
    <xf numFmtId="164" fontId="15" fillId="20" borderId="12" xfId="0" applyFont="1" applyFill="1" applyBorder="1" applyAlignment="1">
      <alignment vertical="center" wrapText="1"/>
    </xf>
    <xf numFmtId="164" fontId="15" fillId="20" borderId="13" xfId="0" applyFont="1" applyFill="1" applyBorder="1" applyAlignment="1">
      <alignment vertical="center" wrapText="1"/>
    </xf>
    <xf numFmtId="164" fontId="15" fillId="0" borderId="14" xfId="0" applyFont="1" applyBorder="1" applyAlignment="1">
      <alignment horizontal="center"/>
    </xf>
    <xf numFmtId="164" fontId="15" fillId="0" borderId="0" xfId="0" applyFont="1" applyAlignment="1">
      <alignment horizontal="center"/>
    </xf>
    <xf numFmtId="164" fontId="15" fillId="0" borderId="18" xfId="0" applyFont="1" applyBorder="1" applyAlignment="1">
      <alignment horizontal="center"/>
    </xf>
    <xf numFmtId="164" fontId="61" fillId="4" borderId="14" xfId="0" applyFont="1" applyFill="1" applyBorder="1" applyAlignment="1">
      <alignment horizontal="left" wrapText="1"/>
    </xf>
    <xf numFmtId="164" fontId="61" fillId="4" borderId="0" xfId="0" applyFont="1" applyFill="1" applyAlignment="1">
      <alignment horizontal="left" wrapText="1"/>
    </xf>
    <xf numFmtId="164" fontId="61" fillId="4" borderId="18" xfId="0" applyFont="1" applyFill="1" applyBorder="1" applyAlignment="1">
      <alignment horizontal="left" wrapText="1"/>
    </xf>
    <xf numFmtId="164" fontId="60" fillId="4" borderId="14" xfId="0" applyFont="1" applyFill="1" applyBorder="1" applyAlignment="1">
      <alignment horizontal="left" wrapText="1"/>
    </xf>
    <xf numFmtId="164" fontId="60" fillId="4" borderId="0" xfId="0" applyFont="1" applyFill="1" applyAlignment="1">
      <alignment horizontal="left" wrapText="1"/>
    </xf>
    <xf numFmtId="164" fontId="60" fillId="4" borderId="18" xfId="0" applyFont="1" applyFill="1" applyBorder="1" applyAlignment="1">
      <alignment horizontal="left" wrapText="1"/>
    </xf>
    <xf numFmtId="164" fontId="70" fillId="15" borderId="24" xfId="0" applyFont="1" applyFill="1" applyBorder="1" applyAlignment="1">
      <alignment horizontal="center" vertical="center" wrapText="1"/>
    </xf>
    <xf numFmtId="164" fontId="70" fillId="15" borderId="11" xfId="0" applyFont="1" applyFill="1" applyBorder="1" applyAlignment="1">
      <alignment horizontal="center" vertical="center" wrapText="1"/>
    </xf>
    <xf numFmtId="164" fontId="70" fillId="15" borderId="22" xfId="0" applyFont="1" applyFill="1" applyBorder="1" applyAlignment="1">
      <alignment horizontal="center" vertical="center" wrapText="1"/>
    </xf>
    <xf numFmtId="164" fontId="70" fillId="15" borderId="26" xfId="0" applyFont="1" applyFill="1" applyBorder="1" applyAlignment="1">
      <alignment horizontal="center" vertical="center" wrapText="1"/>
    </xf>
    <xf numFmtId="164" fontId="70" fillId="15" borderId="12" xfId="0" applyFont="1" applyFill="1" applyBorder="1" applyAlignment="1">
      <alignment horizontal="center" vertical="center" wrapText="1"/>
    </xf>
    <xf numFmtId="164" fontId="70" fillId="15" borderId="13" xfId="0" applyFont="1" applyFill="1" applyBorder="1" applyAlignment="1">
      <alignment horizontal="center" vertical="center" wrapText="1"/>
    </xf>
    <xf numFmtId="164" fontId="20" fillId="4" borderId="16" xfId="0" applyFont="1" applyFill="1" applyBorder="1" applyAlignment="1">
      <alignment horizontal="right"/>
    </xf>
    <xf numFmtId="164" fontId="20" fillId="4" borderId="36" xfId="0" applyFont="1" applyFill="1" applyBorder="1" applyAlignment="1">
      <alignment horizontal="right"/>
    </xf>
    <xf numFmtId="164" fontId="20" fillId="4" borderId="0" xfId="0" applyFont="1" applyFill="1" applyAlignment="1">
      <alignment horizontal="right"/>
    </xf>
    <xf numFmtId="164" fontId="20" fillId="4" borderId="19" xfId="0" applyFont="1" applyFill="1" applyBorder="1" applyAlignment="1">
      <alignment horizontal="right"/>
    </xf>
    <xf numFmtId="49" fontId="54" fillId="0" borderId="8" xfId="0" applyNumberFormat="1" applyFont="1" applyBorder="1" applyProtection="1">
      <protection locked="0"/>
    </xf>
    <xf numFmtId="164" fontId="13" fillId="4" borderId="15" xfId="1" applyNumberFormat="1" applyFont="1" applyFill="1" applyBorder="1" applyAlignment="1">
      <alignment horizontal="center"/>
    </xf>
    <xf numFmtId="164" fontId="13" fillId="4" borderId="16" xfId="1" applyNumberFormat="1" applyFont="1" applyFill="1" applyBorder="1" applyAlignment="1">
      <alignment horizontal="center"/>
    </xf>
    <xf numFmtId="164" fontId="15" fillId="4" borderId="41" xfId="0" applyFont="1" applyFill="1" applyBorder="1" applyAlignment="1">
      <alignment horizontal="center"/>
    </xf>
    <xf numFmtId="164" fontId="15" fillId="4" borderId="12" xfId="0" applyFont="1" applyFill="1" applyBorder="1" applyAlignment="1">
      <alignment horizontal="center"/>
    </xf>
    <xf numFmtId="164" fontId="16" fillId="0" borderId="1" xfId="0" applyFont="1" applyBorder="1" applyAlignment="1">
      <alignment horizontal="left" vertical="center" wrapText="1"/>
    </xf>
    <xf numFmtId="164" fontId="35" fillId="0" borderId="11" xfId="0" applyFont="1" applyBorder="1" applyAlignment="1">
      <alignment wrapText="1"/>
    </xf>
    <xf numFmtId="164" fontId="37" fillId="0" borderId="11" xfId="0" applyFont="1" applyBorder="1" applyAlignment="1">
      <alignment vertical="top"/>
    </xf>
    <xf numFmtId="164" fontId="35" fillId="0" borderId="12" xfId="0" applyFont="1" applyBorder="1" applyAlignment="1">
      <alignment vertical="top" wrapText="1"/>
    </xf>
    <xf numFmtId="164" fontId="13" fillId="0" borderId="0" xfId="0" applyFont="1" applyAlignment="1">
      <alignment vertical="top" wrapText="1"/>
    </xf>
    <xf numFmtId="164" fontId="37" fillId="0" borderId="11" xfId="0" applyFont="1" applyBorder="1" applyAlignment="1">
      <alignment vertical="top" wrapText="1"/>
    </xf>
    <xf numFmtId="164" fontId="16" fillId="31" borderId="1" xfId="0" applyFont="1" applyFill="1" applyBorder="1" applyAlignment="1" applyProtection="1">
      <alignment horizontal="left"/>
      <protection locked="0"/>
    </xf>
    <xf numFmtId="164" fontId="35" fillId="0" borderId="8" xfId="0" applyFont="1" applyBorder="1" applyAlignment="1">
      <alignment horizontal="center" vertical="center"/>
    </xf>
    <xf numFmtId="164" fontId="35" fillId="0" borderId="9" xfId="0" applyFont="1" applyBorder="1" applyAlignment="1">
      <alignment horizontal="center" vertical="center"/>
    </xf>
    <xf numFmtId="164" fontId="35" fillId="0" borderId="10" xfId="0" applyFont="1" applyBorder="1" applyAlignment="1">
      <alignment horizontal="center" vertical="center"/>
    </xf>
    <xf numFmtId="164" fontId="16" fillId="0" borderId="7" xfId="0" applyFont="1" applyBorder="1" applyAlignment="1">
      <alignment horizontal="center" vertical="center" wrapText="1"/>
    </xf>
    <xf numFmtId="164" fontId="16" fillId="0" borderId="94" xfId="0" applyFont="1" applyBorder="1" applyAlignment="1">
      <alignment horizontal="center" vertical="center" wrapText="1"/>
    </xf>
    <xf numFmtId="164" fontId="35" fillId="0" borderId="1" xfId="0" applyFont="1" applyBorder="1" applyAlignment="1">
      <alignment horizontal="center" vertical="center" wrapText="1"/>
    </xf>
    <xf numFmtId="164" fontId="35" fillId="0" borderId="1" xfId="0" applyFont="1" applyBorder="1" applyAlignment="1">
      <alignment horizontal="center" vertical="center"/>
    </xf>
    <xf numFmtId="164" fontId="22" fillId="0" borderId="9" xfId="0" applyFont="1" applyBorder="1"/>
    <xf numFmtId="164" fontId="16" fillId="31" borderId="9" xfId="0" applyFont="1" applyFill="1" applyBorder="1" applyAlignment="1" applyProtection="1">
      <alignment horizontal="right" wrapText="1"/>
      <protection locked="0"/>
    </xf>
    <xf numFmtId="164" fontId="16" fillId="31" borderId="12" xfId="0" applyFont="1" applyFill="1" applyBorder="1" applyAlignment="1" applyProtection="1">
      <alignment horizontal="right" wrapText="1"/>
      <protection locked="0"/>
    </xf>
    <xf numFmtId="164" fontId="16" fillId="0" borderId="0" xfId="0" applyFont="1"/>
    <xf numFmtId="164" fontId="37" fillId="0" borderId="0" xfId="0" applyFont="1" applyAlignment="1">
      <alignment horizontal="center" vertical="top" wrapText="1"/>
    </xf>
    <xf numFmtId="164" fontId="22" fillId="0" borderId="11" xfId="0" applyFont="1" applyBorder="1" applyAlignment="1">
      <alignment horizontal="center"/>
    </xf>
    <xf numFmtId="164" fontId="16" fillId="0" borderId="7" xfId="0" applyFont="1" applyBorder="1" applyAlignment="1">
      <alignment horizontal="center" wrapText="1"/>
    </xf>
    <xf numFmtId="164" fontId="16" fillId="0" borderId="2" xfId="0" applyFont="1" applyBorder="1" applyAlignment="1">
      <alignment horizontal="center" wrapText="1"/>
    </xf>
    <xf numFmtId="164" fontId="13" fillId="0" borderId="1" xfId="0" applyFont="1" applyBorder="1" applyAlignment="1">
      <alignment horizontal="center"/>
    </xf>
    <xf numFmtId="164" fontId="22" fillId="0" borderId="1" xfId="0" applyFont="1" applyBorder="1" applyAlignment="1">
      <alignment horizontal="center"/>
    </xf>
    <xf numFmtId="164" fontId="35" fillId="0" borderId="8" xfId="0" applyFont="1" applyBorder="1" applyAlignment="1">
      <alignment horizontal="center"/>
    </xf>
    <xf numFmtId="164" fontId="35" fillId="0" borderId="9" xfId="0" applyFont="1" applyBorder="1" applyAlignment="1">
      <alignment horizontal="center"/>
    </xf>
    <xf numFmtId="164" fontId="35" fillId="0" borderId="10" xfId="0" applyFont="1" applyBorder="1" applyAlignment="1">
      <alignment horizontal="center"/>
    </xf>
    <xf numFmtId="164" fontId="35" fillId="0" borderId="1" xfId="0" applyFont="1" applyBorder="1" applyAlignment="1">
      <alignment horizontal="center"/>
    </xf>
    <xf numFmtId="164" fontId="30" fillId="0" borderId="0" xfId="0" applyFont="1" applyAlignment="1">
      <alignment horizontal="center" wrapText="1"/>
    </xf>
    <xf numFmtId="164" fontId="15" fillId="4" borderId="55" xfId="0" applyFont="1" applyFill="1" applyBorder="1" applyAlignment="1">
      <alignment horizontal="left" wrapText="1"/>
    </xf>
    <xf numFmtId="164" fontId="15" fillId="4" borderId="0" xfId="0" applyFont="1" applyFill="1" applyAlignment="1">
      <alignment horizontal="left" wrapText="1"/>
    </xf>
    <xf numFmtId="164" fontId="15" fillId="4" borderId="108" xfId="0" applyFont="1" applyFill="1" applyBorder="1" applyAlignment="1">
      <alignment horizontal="left" wrapText="1"/>
    </xf>
    <xf numFmtId="164" fontId="15" fillId="4" borderId="115" xfId="0" applyFont="1" applyFill="1" applyBorder="1" applyAlignment="1">
      <alignment horizontal="left" wrapText="1"/>
    </xf>
    <xf numFmtId="164" fontId="13" fillId="4" borderId="113" xfId="0" applyFont="1" applyFill="1" applyBorder="1" applyAlignment="1">
      <alignment horizontal="center"/>
    </xf>
    <xf numFmtId="164" fontId="13" fillId="4" borderId="112" xfId="0" applyFont="1" applyFill="1" applyBorder="1" applyAlignment="1">
      <alignment horizontal="center"/>
    </xf>
    <xf numFmtId="164" fontId="13" fillId="4" borderId="114" xfId="0" applyFont="1" applyFill="1" applyBorder="1" applyAlignment="1">
      <alignment horizontal="center"/>
    </xf>
    <xf numFmtId="164" fontId="13" fillId="4" borderId="115" xfId="0" applyFont="1" applyFill="1" applyBorder="1" applyAlignment="1">
      <alignment horizontal="center"/>
    </xf>
    <xf numFmtId="164" fontId="13" fillId="4" borderId="0" xfId="0" applyFont="1" applyFill="1" applyAlignment="1">
      <alignment horizontal="center"/>
    </xf>
    <xf numFmtId="164" fontId="13" fillId="4" borderId="108" xfId="0" applyFont="1" applyFill="1" applyBorder="1" applyAlignment="1">
      <alignment horizontal="center"/>
    </xf>
    <xf numFmtId="164" fontId="13" fillId="4" borderId="143" xfId="0" applyFont="1" applyFill="1" applyBorder="1" applyAlignment="1">
      <alignment horizontal="center"/>
    </xf>
    <xf numFmtId="164" fontId="13" fillId="4" borderId="144" xfId="0" applyFont="1" applyFill="1" applyBorder="1" applyAlignment="1">
      <alignment horizontal="center"/>
    </xf>
    <xf numFmtId="164" fontId="13" fillId="4" borderId="145" xfId="0" applyFont="1" applyFill="1" applyBorder="1" applyAlignment="1">
      <alignment horizontal="center"/>
    </xf>
    <xf numFmtId="164" fontId="16" fillId="4" borderId="0" xfId="0" applyFont="1" applyFill="1" applyAlignment="1">
      <alignment horizontal="left" wrapText="1"/>
    </xf>
    <xf numFmtId="164" fontId="73" fillId="4" borderId="0" xfId="3" applyFont="1" applyFill="1" applyBorder="1" applyAlignment="1">
      <alignment horizontal="left" wrapText="1"/>
    </xf>
    <xf numFmtId="164" fontId="73" fillId="4" borderId="0" xfId="3" applyFont="1" applyFill="1" applyBorder="1" applyAlignment="1">
      <alignment horizontal="left"/>
    </xf>
    <xf numFmtId="164" fontId="16" fillId="4" borderId="0" xfId="0" applyFont="1" applyFill="1" applyAlignment="1">
      <alignment horizontal="left"/>
    </xf>
    <xf numFmtId="164" fontId="20" fillId="9" borderId="0" xfId="0" applyFont="1" applyFill="1" applyAlignment="1">
      <alignment horizontal="left" wrapText="1"/>
    </xf>
    <xf numFmtId="164" fontId="35" fillId="4" borderId="82" xfId="0" applyFont="1" applyFill="1" applyBorder="1" applyAlignment="1">
      <alignment horizontal="center" wrapText="1"/>
    </xf>
    <xf numFmtId="164" fontId="35" fillId="4" borderId="83" xfId="0" applyFont="1" applyFill="1" applyBorder="1" applyAlignment="1">
      <alignment horizontal="center" wrapText="1"/>
    </xf>
    <xf numFmtId="164" fontId="13" fillId="15" borderId="8" xfId="0" applyFont="1" applyFill="1" applyBorder="1" applyAlignment="1">
      <alignment horizontal="center" vertical="center"/>
    </xf>
    <xf numFmtId="164" fontId="13" fillId="15" borderId="10" xfId="0" applyFont="1" applyFill="1" applyBorder="1" applyAlignment="1">
      <alignment horizontal="center" vertical="center"/>
    </xf>
    <xf numFmtId="164" fontId="20" fillId="0" borderId="0" xfId="0" applyFont="1" applyAlignment="1">
      <alignment horizontal="left"/>
    </xf>
    <xf numFmtId="164" fontId="78" fillId="4" borderId="89" xfId="0" applyFont="1" applyFill="1" applyBorder="1" applyAlignment="1">
      <alignment horizontal="center" vertical="center"/>
    </xf>
    <xf numFmtId="164" fontId="78" fillId="4" borderId="16" xfId="0" applyFont="1" applyFill="1" applyBorder="1" applyAlignment="1">
      <alignment horizontal="center" vertical="center"/>
    </xf>
    <xf numFmtId="164" fontId="78" fillId="4" borderId="17" xfId="0" applyFont="1" applyFill="1" applyBorder="1" applyAlignment="1">
      <alignment horizontal="center" vertical="center"/>
    </xf>
    <xf numFmtId="164" fontId="78" fillId="4" borderId="89" xfId="0" applyFont="1" applyFill="1" applyBorder="1" applyAlignment="1">
      <alignment horizontal="left"/>
    </xf>
    <xf numFmtId="164" fontId="78" fillId="4" borderId="16" xfId="0" applyFont="1" applyFill="1" applyBorder="1" applyAlignment="1">
      <alignment horizontal="left"/>
    </xf>
    <xf numFmtId="164" fontId="78" fillId="4" borderId="17" xfId="0" applyFont="1" applyFill="1" applyBorder="1" applyAlignment="1">
      <alignment horizontal="left"/>
    </xf>
    <xf numFmtId="164" fontId="78" fillId="4" borderId="26" xfId="0" applyFont="1" applyFill="1" applyBorder="1" applyAlignment="1">
      <alignment horizontal="left"/>
    </xf>
    <xf numFmtId="164" fontId="78" fillId="4" borderId="12" xfId="0" applyFont="1" applyFill="1" applyBorder="1" applyAlignment="1">
      <alignment horizontal="left"/>
    </xf>
    <xf numFmtId="164" fontId="78" fillId="4" borderId="42" xfId="0" applyFont="1" applyFill="1" applyBorder="1" applyAlignment="1">
      <alignment horizontal="left"/>
    </xf>
    <xf numFmtId="164" fontId="78" fillId="4" borderId="86" xfId="0" applyFont="1" applyFill="1" applyBorder="1" applyAlignment="1">
      <alignment horizontal="center" vertical="center"/>
    </xf>
    <xf numFmtId="164" fontId="78" fillId="4" borderId="39" xfId="0" applyFont="1" applyFill="1" applyBorder="1" applyAlignment="1">
      <alignment horizontal="center" vertical="center"/>
    </xf>
    <xf numFmtId="164" fontId="78" fillId="4" borderId="88" xfId="0" applyFont="1" applyFill="1" applyBorder="1" applyAlignment="1">
      <alignment horizontal="center" vertical="center"/>
    </xf>
    <xf numFmtId="164" fontId="78" fillId="4" borderId="1" xfId="0" applyFont="1" applyFill="1" applyBorder="1" applyAlignment="1">
      <alignment horizontal="center" vertical="center"/>
    </xf>
    <xf numFmtId="164" fontId="78" fillId="4" borderId="87" xfId="0" applyFont="1" applyFill="1" applyBorder="1" applyAlignment="1">
      <alignment horizontal="center" vertical="center"/>
    </xf>
    <xf numFmtId="164" fontId="78" fillId="4" borderId="2" xfId="0" applyFont="1" applyFill="1" applyBorder="1" applyAlignment="1">
      <alignment horizontal="center" vertical="center"/>
    </xf>
    <xf numFmtId="164" fontId="78" fillId="4" borderId="89" xfId="0" applyFont="1" applyFill="1" applyBorder="1" applyAlignment="1">
      <alignment horizontal="left" vertical="center"/>
    </xf>
    <xf numFmtId="164" fontId="78" fillId="4" borderId="36" xfId="0" applyFont="1" applyFill="1" applyBorder="1" applyAlignment="1">
      <alignment horizontal="left" vertical="center"/>
    </xf>
    <xf numFmtId="164" fontId="78" fillId="4" borderId="26" xfId="0" applyFont="1" applyFill="1" applyBorder="1" applyAlignment="1">
      <alignment horizontal="left" vertical="center"/>
    </xf>
    <xf numFmtId="164" fontId="78" fillId="4" borderId="13" xfId="0" applyFont="1" applyFill="1" applyBorder="1" applyAlignment="1">
      <alignment horizontal="left" vertical="center"/>
    </xf>
    <xf numFmtId="164" fontId="20" fillId="0" borderId="24" xfId="0" applyFont="1" applyBorder="1" applyAlignment="1">
      <alignment horizontal="left" vertical="top" wrapText="1"/>
    </xf>
    <xf numFmtId="164" fontId="20" fillId="0" borderId="11" xfId="0" applyFont="1" applyBorder="1" applyAlignment="1">
      <alignment horizontal="left" vertical="top" wrapText="1"/>
    </xf>
    <xf numFmtId="164" fontId="20" fillId="0" borderId="22" xfId="0" applyFont="1" applyBorder="1" applyAlignment="1">
      <alignment horizontal="left" vertical="top" wrapText="1"/>
    </xf>
    <xf numFmtId="164" fontId="20" fillId="0" borderId="23" xfId="0" applyFont="1" applyBorder="1" applyAlignment="1">
      <alignment horizontal="left" vertical="top" wrapText="1"/>
    </xf>
    <xf numFmtId="164" fontId="20" fillId="0" borderId="0" xfId="0" applyFont="1" applyAlignment="1">
      <alignment horizontal="left" vertical="top" wrapText="1"/>
    </xf>
    <xf numFmtId="164" fontId="20" fillId="0" borderId="19" xfId="0" applyFont="1" applyBorder="1" applyAlignment="1">
      <alignment horizontal="left" vertical="top" wrapText="1"/>
    </xf>
    <xf numFmtId="164" fontId="20" fillId="0" borderId="26" xfId="0" applyFont="1" applyBorder="1" applyAlignment="1">
      <alignment horizontal="left" vertical="top" wrapText="1"/>
    </xf>
    <xf numFmtId="164" fontId="20" fillId="0" borderId="12" xfId="0" applyFont="1" applyBorder="1" applyAlignment="1">
      <alignment horizontal="left" vertical="top" wrapText="1"/>
    </xf>
    <xf numFmtId="164" fontId="20" fillId="0" borderId="13" xfId="0" applyFont="1" applyBorder="1" applyAlignment="1">
      <alignment horizontal="left" vertical="top" wrapText="1"/>
    </xf>
    <xf numFmtId="164" fontId="80" fillId="0" borderId="35" xfId="0" applyFont="1" applyBorder="1" applyAlignment="1">
      <alignment horizontal="center"/>
    </xf>
    <xf numFmtId="164" fontId="80" fillId="0" borderId="85" xfId="0" applyFont="1" applyBorder="1" applyAlignment="1">
      <alignment horizontal="center"/>
    </xf>
    <xf numFmtId="164" fontId="80" fillId="0" borderId="101" xfId="0" applyFont="1" applyBorder="1" applyAlignment="1">
      <alignment horizontal="center"/>
    </xf>
    <xf numFmtId="164" fontId="78" fillId="4" borderId="36" xfId="0" applyFont="1" applyFill="1" applyBorder="1" applyAlignment="1">
      <alignment horizontal="center" vertical="center"/>
    </xf>
    <xf numFmtId="164" fontId="78" fillId="4" borderId="23" xfId="0" applyFont="1" applyFill="1" applyBorder="1" applyAlignment="1">
      <alignment horizontal="center" vertical="center"/>
    </xf>
    <xf numFmtId="164" fontId="78" fillId="4" borderId="0" xfId="0" applyFont="1" applyFill="1" applyAlignment="1">
      <alignment horizontal="center" vertical="center"/>
    </xf>
    <xf numFmtId="164" fontId="78" fillId="4" borderId="19" xfId="0" applyFont="1" applyFill="1" applyBorder="1" applyAlignment="1">
      <alignment horizontal="center" vertical="center"/>
    </xf>
    <xf numFmtId="164" fontId="78" fillId="4" borderId="26" xfId="0" applyFont="1" applyFill="1" applyBorder="1" applyAlignment="1">
      <alignment horizontal="center" vertical="center"/>
    </xf>
    <xf numFmtId="164" fontId="78" fillId="4" borderId="12" xfId="0" applyFont="1" applyFill="1" applyBorder="1" applyAlignment="1">
      <alignment horizontal="center" vertical="center"/>
    </xf>
    <xf numFmtId="164" fontId="78" fillId="4" borderId="13" xfId="0" applyFont="1" applyFill="1" applyBorder="1" applyAlignment="1">
      <alignment horizontal="center" vertical="center"/>
    </xf>
    <xf numFmtId="164" fontId="77" fillId="4" borderId="26" xfId="0" applyFont="1" applyFill="1" applyBorder="1" applyAlignment="1">
      <alignment horizontal="center" vertical="center"/>
    </xf>
    <xf numFmtId="164" fontId="77" fillId="4" borderId="12" xfId="0" applyFont="1" applyFill="1" applyBorder="1" applyAlignment="1">
      <alignment horizontal="center" vertical="center"/>
    </xf>
    <xf numFmtId="164" fontId="77" fillId="4" borderId="13" xfId="0" applyFont="1" applyFill="1" applyBorder="1" applyAlignment="1">
      <alignment horizontal="center" vertical="center"/>
    </xf>
    <xf numFmtId="164" fontId="77" fillId="4" borderId="23" xfId="0" applyFont="1" applyFill="1" applyBorder="1" applyAlignment="1">
      <alignment horizontal="center" vertical="center"/>
    </xf>
    <xf numFmtId="164" fontId="77" fillId="4" borderId="0" xfId="0" applyFont="1" applyFill="1" applyAlignment="1">
      <alignment horizontal="center" vertical="center"/>
    </xf>
    <xf numFmtId="164" fontId="77" fillId="4" borderId="19" xfId="0" applyFont="1" applyFill="1" applyBorder="1" applyAlignment="1">
      <alignment horizontal="center" vertical="center"/>
    </xf>
    <xf numFmtId="164" fontId="77" fillId="4" borderId="24" xfId="0" applyFont="1" applyFill="1" applyBorder="1" applyAlignment="1">
      <alignment horizontal="center" vertical="center"/>
    </xf>
    <xf numFmtId="164" fontId="77" fillId="4" borderId="11" xfId="0" applyFont="1" applyFill="1" applyBorder="1" applyAlignment="1">
      <alignment horizontal="center" vertical="center"/>
    </xf>
    <xf numFmtId="164" fontId="77" fillId="4" borderId="22" xfId="0" applyFont="1" applyFill="1" applyBorder="1" applyAlignment="1">
      <alignment horizontal="center" vertical="center"/>
    </xf>
    <xf numFmtId="164" fontId="78" fillId="0" borderId="40" xfId="0" applyFont="1" applyBorder="1" applyAlignment="1">
      <alignment horizontal="left"/>
    </xf>
    <xf numFmtId="164" fontId="78" fillId="0" borderId="9" xfId="0" applyFont="1" applyBorder="1" applyAlignment="1">
      <alignment horizontal="left"/>
    </xf>
    <xf numFmtId="164" fontId="78" fillId="0" borderId="10" xfId="0" applyFont="1" applyBorder="1" applyAlignment="1">
      <alignment horizontal="left"/>
    </xf>
    <xf numFmtId="164" fontId="77" fillId="4" borderId="23" xfId="0" applyFont="1" applyFill="1" applyBorder="1" applyAlignment="1">
      <alignment horizontal="center"/>
    </xf>
    <xf numFmtId="164" fontId="77" fillId="4" borderId="0" xfId="0" applyFont="1" applyFill="1" applyAlignment="1">
      <alignment horizontal="center"/>
    </xf>
    <xf numFmtId="164" fontId="77" fillId="4" borderId="26" xfId="0" applyFont="1" applyFill="1" applyBorder="1" applyAlignment="1">
      <alignment horizontal="center"/>
    </xf>
    <xf numFmtId="164" fontId="77" fillId="4" borderId="12" xfId="0" applyFont="1" applyFill="1" applyBorder="1" applyAlignment="1">
      <alignment horizontal="center"/>
    </xf>
    <xf numFmtId="164" fontId="78" fillId="4" borderId="18" xfId="0" applyFont="1" applyFill="1" applyBorder="1" applyAlignment="1">
      <alignment horizontal="center" vertical="center"/>
    </xf>
    <xf numFmtId="164" fontId="78" fillId="0" borderId="102" xfId="0" applyFont="1" applyBorder="1" applyAlignment="1">
      <alignment horizontal="right"/>
    </xf>
    <xf numFmtId="164" fontId="78" fillId="0" borderId="103" xfId="0" applyFont="1" applyBorder="1" applyAlignment="1">
      <alignment horizontal="right"/>
    </xf>
    <xf numFmtId="164" fontId="78" fillId="0" borderId="44" xfId="0" applyFont="1" applyBorder="1" applyAlignment="1">
      <alignment horizontal="right"/>
    </xf>
    <xf numFmtId="164" fontId="79" fillId="4" borderId="87" xfId="0" applyFont="1" applyFill="1" applyBorder="1" applyAlignment="1">
      <alignment horizontal="center"/>
    </xf>
    <xf numFmtId="164" fontId="79" fillId="4" borderId="80" xfId="0" applyFont="1" applyFill="1" applyBorder="1" applyAlignment="1">
      <alignment horizontal="center"/>
    </xf>
    <xf numFmtId="164" fontId="77" fillId="0" borderId="0" xfId="0" applyFont="1" applyAlignment="1">
      <alignment horizontal="left" wrapText="1"/>
    </xf>
    <xf numFmtId="164" fontId="79" fillId="4" borderId="89" xfId="0" applyFont="1" applyFill="1" applyBorder="1" applyAlignment="1">
      <alignment horizontal="center" vertical="center"/>
    </xf>
    <xf numFmtId="164" fontId="79" fillId="4" borderId="16" xfId="0" applyFont="1" applyFill="1" applyBorder="1" applyAlignment="1">
      <alignment horizontal="center" vertical="center"/>
    </xf>
    <xf numFmtId="164" fontId="79" fillId="4" borderId="17" xfId="0" applyFont="1" applyFill="1" applyBorder="1" applyAlignment="1">
      <alignment horizontal="center" vertical="center"/>
    </xf>
    <xf numFmtId="164" fontId="79" fillId="4" borderId="23" xfId="0" applyFont="1" applyFill="1" applyBorder="1" applyAlignment="1">
      <alignment horizontal="center" vertical="center"/>
    </xf>
    <xf numFmtId="164" fontId="79" fillId="4" borderId="0" xfId="0" applyFont="1" applyFill="1" applyAlignment="1">
      <alignment horizontal="center" vertical="center"/>
    </xf>
    <xf numFmtId="164" fontId="79" fillId="4" borderId="18" xfId="0" applyFont="1" applyFill="1" applyBorder="1" applyAlignment="1">
      <alignment horizontal="center" vertical="center"/>
    </xf>
    <xf numFmtId="164" fontId="77" fillId="4" borderId="24" xfId="0" applyFont="1" applyFill="1" applyBorder="1" applyAlignment="1">
      <alignment horizontal="center"/>
    </xf>
    <xf numFmtId="164" fontId="77" fillId="4" borderId="11" xfId="0" applyFont="1" applyFill="1" applyBorder="1" applyAlignment="1">
      <alignment horizontal="center"/>
    </xf>
    <xf numFmtId="164" fontId="87" fillId="4" borderId="102" xfId="0" applyFont="1" applyFill="1" applyBorder="1" applyAlignment="1">
      <alignment horizontal="right"/>
    </xf>
    <xf numFmtId="164" fontId="87" fillId="4" borderId="103" xfId="0" applyFont="1" applyFill="1" applyBorder="1" applyAlignment="1">
      <alignment horizontal="right"/>
    </xf>
    <xf numFmtId="3" fontId="80" fillId="4" borderId="0" xfId="0" applyNumberFormat="1" applyFont="1" applyFill="1" applyAlignment="1">
      <alignment horizontal="right"/>
    </xf>
    <xf numFmtId="164" fontId="80" fillId="4" borderId="0" xfId="0" applyFont="1" applyFill="1" applyAlignment="1">
      <alignment horizontal="right"/>
    </xf>
    <xf numFmtId="164" fontId="77" fillId="4" borderId="14" xfId="0" applyFont="1" applyFill="1" applyBorder="1" applyAlignment="1">
      <alignment horizontal="right"/>
    </xf>
    <xf numFmtId="164" fontId="77" fillId="4" borderId="19" xfId="0" applyFont="1" applyFill="1" applyBorder="1" applyAlignment="1">
      <alignment horizontal="right"/>
    </xf>
    <xf numFmtId="164" fontId="80" fillId="4" borderId="14" xfId="0" applyFont="1" applyFill="1" applyBorder="1" applyAlignment="1">
      <alignment horizontal="right"/>
    </xf>
    <xf numFmtId="164" fontId="86" fillId="4" borderId="15" xfId="0" applyFont="1" applyFill="1" applyBorder="1" applyAlignment="1">
      <alignment horizontal="center"/>
    </xf>
    <xf numFmtId="164" fontId="86" fillId="4" borderId="16" xfId="0" applyFont="1" applyFill="1" applyBorder="1" applyAlignment="1">
      <alignment horizontal="center"/>
    </xf>
    <xf numFmtId="164" fontId="81" fillId="4" borderId="14" xfId="0" applyFont="1" applyFill="1" applyBorder="1" applyAlignment="1">
      <alignment horizontal="right"/>
    </xf>
    <xf numFmtId="164" fontId="81" fillId="4" borderId="0" xfId="0" applyFont="1" applyFill="1" applyAlignment="1">
      <alignment horizontal="right"/>
    </xf>
    <xf numFmtId="164" fontId="78" fillId="4" borderId="124" xfId="0" applyFont="1" applyFill="1" applyBorder="1" applyAlignment="1">
      <alignment horizontal="center"/>
    </xf>
    <xf numFmtId="164" fontId="80" fillId="0" borderId="118" xfId="0" applyFont="1" applyBorder="1" applyAlignment="1">
      <alignment horizontal="center"/>
    </xf>
    <xf numFmtId="164" fontId="80" fillId="0" borderId="119" xfId="0" applyFont="1" applyBorder="1" applyAlignment="1">
      <alignment horizontal="center"/>
    </xf>
    <xf numFmtId="164" fontId="80" fillId="0" borderId="120" xfId="0" applyFont="1" applyBorder="1" applyAlignment="1">
      <alignment horizontal="center"/>
    </xf>
    <xf numFmtId="164" fontId="78" fillId="4" borderId="141" xfId="0" applyFont="1" applyFill="1" applyBorder="1" applyAlignment="1">
      <alignment horizontal="right"/>
    </xf>
    <xf numFmtId="164" fontId="78" fillId="4" borderId="142" xfId="0" applyFont="1" applyFill="1" applyBorder="1" applyAlignment="1">
      <alignment horizontal="right"/>
    </xf>
    <xf numFmtId="164" fontId="80" fillId="4" borderId="118" xfId="0" applyFont="1" applyFill="1" applyBorder="1" applyAlignment="1">
      <alignment horizontal="center"/>
    </xf>
    <xf numFmtId="164" fontId="80" fillId="4" borderId="119" xfId="0" applyFont="1" applyFill="1" applyBorder="1" applyAlignment="1">
      <alignment horizontal="center"/>
    </xf>
    <xf numFmtId="164" fontId="80" fillId="4" borderId="120" xfId="0" applyFont="1" applyFill="1" applyBorder="1" applyAlignment="1">
      <alignment horizontal="center"/>
    </xf>
  </cellXfs>
  <cellStyles count="16">
    <cellStyle name="Comma" xfId="9" builtinId="3"/>
    <cellStyle name="Hyperlink" xfId="3" builtinId="8"/>
    <cellStyle name="Hyperlink 2" xfId="8" xr:uid="{EF95365E-4136-4597-BD85-3F766BC91BD2}"/>
    <cellStyle name="Normal" xfId="0" builtinId="0"/>
    <cellStyle name="Normal 2" xfId="1" xr:uid="{00000000-0005-0000-0000-000002000000}"/>
    <cellStyle name="Normal 2 2" xfId="4" xr:uid="{00000000-0005-0000-0000-000003000000}"/>
    <cellStyle name="Normal 3" xfId="2" xr:uid="{00000000-0005-0000-0000-000004000000}"/>
    <cellStyle name="Normal 3 2" xfId="5" xr:uid="{00000000-0005-0000-0000-000005000000}"/>
    <cellStyle name="Normal 4" xfId="6" xr:uid="{B50FA719-68C0-4606-B191-E13F3878BF40}"/>
    <cellStyle name="Normal 4 2" xfId="11" xr:uid="{C9D3864E-AE9D-4894-BB83-6526EB469979}"/>
    <cellStyle name="Normal 4 2 2" xfId="14" xr:uid="{10CDDBCB-A198-4EB2-BCBF-D55CDCAC42C0}"/>
    <cellStyle name="Normal 5" xfId="13" xr:uid="{03898E63-D267-4360-BE0B-581959217FE6}"/>
    <cellStyle name="Percent" xfId="10" builtinId="5"/>
    <cellStyle name="Percent 2" xfId="7" xr:uid="{64298D4C-4C4B-465A-8562-52BA1E236DE8}"/>
    <cellStyle name="Percent 2 2" xfId="12" xr:uid="{0257AA67-D1B0-4911-A1E8-BD7663F491FB}"/>
    <cellStyle name="Percent 3" xfId="15" xr:uid="{9EDA6D67-0A2C-4D59-BF14-E81EECB39258}"/>
  </cellStyles>
  <dxfs count="6">
    <dxf>
      <font>
        <condense val="0"/>
        <extend val="0"/>
        <color indexed="26"/>
      </font>
    </dxf>
    <dxf>
      <font>
        <condense val="0"/>
        <extend val="0"/>
        <color indexed="26"/>
      </font>
    </dxf>
    <dxf>
      <font>
        <color rgb="FFFF0000"/>
      </font>
    </dxf>
    <dxf>
      <font>
        <color rgb="FFFF0000"/>
      </font>
    </dxf>
    <dxf>
      <font>
        <b/>
        <i val="0"/>
        <color rgb="FFFF0000"/>
      </font>
    </dxf>
    <dxf>
      <font>
        <color theme="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CC00"/>
      <color rgb="FFCCFFCC"/>
      <color rgb="FF99FF99"/>
      <color rgb="FFD2BA06"/>
      <color rgb="FF009900"/>
      <color rgb="FFCC9900"/>
      <color rgb="FF0A47C0"/>
      <color rgb="FFFDF4B5"/>
      <color rgb="FFFAE7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Forage</a:t>
            </a:r>
            <a:r>
              <a:rPr lang="en-US" baseline="0"/>
              <a:t> Growth Curve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9"/>
          <c:order val="5"/>
          <c:tx>
            <c:strRef>
              <c:f>ForageProductionModel!$H$27</c:f>
              <c:strCache>
                <c:ptCount val="1"/>
                <c:pt idx="0">
                  <c:v>Ensemble</c:v>
                </c:pt>
              </c:strCache>
            </c:strRef>
          </c:tx>
          <c:spPr>
            <a:ln w="19050" cap="rnd">
              <a:solidFill>
                <a:schemeClr val="accent4">
                  <a:lumMod val="60000"/>
                </a:schemeClr>
              </a:solidFill>
              <a:round/>
            </a:ln>
            <a:effectLst/>
          </c:spPr>
          <c:marker>
            <c:symbol val="circle"/>
            <c:size val="5"/>
            <c:spPr>
              <a:solidFill>
                <a:schemeClr val="tx1"/>
              </a:solidFill>
              <a:ln w="9525">
                <a:solidFill>
                  <a:srgbClr val="002060"/>
                </a:solidFill>
              </a:ln>
              <a:effectLst/>
            </c:spPr>
          </c:marker>
          <c:cat>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ForageProductionModel!$I$29:$I$40</c:f>
              <c:numCache>
                <c:formatCode>0.00</c:formatCode>
                <c:ptCount val="12"/>
                <c:pt idx="0">
                  <c:v>0.10263929627706618</c:v>
                </c:pt>
                <c:pt idx="1">
                  <c:v>8.7612493057622573E-2</c:v>
                </c:pt>
                <c:pt idx="2">
                  <c:v>0.14793564908239434</c:v>
                </c:pt>
                <c:pt idx="3">
                  <c:v>0.1308527198854591</c:v>
                </c:pt>
                <c:pt idx="4">
                  <c:v>7.92522094644426E-2</c:v>
                </c:pt>
                <c:pt idx="5">
                  <c:v>5.2990418547709146E-2</c:v>
                </c:pt>
                <c:pt idx="6">
                  <c:v>5.166924167655261E-2</c:v>
                </c:pt>
                <c:pt idx="7">
                  <c:v>4.9894334195547403E-2</c:v>
                </c:pt>
                <c:pt idx="8">
                  <c:v>3.7718880412243534E-2</c:v>
                </c:pt>
                <c:pt idx="9">
                  <c:v>4.4132496806883345E-2</c:v>
                </c:pt>
                <c:pt idx="10">
                  <c:v>9.2269909513226875E-2</c:v>
                </c:pt>
                <c:pt idx="11">
                  <c:v>0.12303235108085223</c:v>
                </c:pt>
              </c:numCache>
            </c:numRef>
          </c:val>
          <c:smooth val="0"/>
          <c:extLst>
            <c:ext xmlns:c16="http://schemas.microsoft.com/office/drawing/2014/chart" uri="{C3380CC4-5D6E-409C-BE32-E72D297353CC}">
              <c16:uniqueId val="{00000000-75C2-477A-805C-BE04E8D1E48B}"/>
            </c:ext>
          </c:extLst>
        </c:ser>
        <c:dLbls>
          <c:showLegendKey val="0"/>
          <c:showVal val="0"/>
          <c:showCatName val="0"/>
          <c:showSerName val="0"/>
          <c:showPercent val="0"/>
          <c:showBubbleSize val="0"/>
        </c:dLbls>
        <c:marker val="1"/>
        <c:smooth val="0"/>
        <c:axId val="550232768"/>
        <c:axId val="550232440"/>
        <c:extLst>
          <c:ext xmlns:c15="http://schemas.microsoft.com/office/drawing/2012/chart" uri="{02D57815-91ED-43cb-92C2-25804820EDAC}">
            <c15:filteredLineSeries>
              <c15:ser>
                <c:idx val="0"/>
                <c:order val="0"/>
                <c:tx>
                  <c:strRef>
                    <c:extLst>
                      <c:ext uri="{02D57815-91ED-43cb-92C2-25804820EDAC}">
                        <c15:formulaRef>
                          <c15:sqref>ForageProductionModel!$C$27</c15:sqref>
                        </c15:formulaRef>
                      </c:ext>
                    </c:extLst>
                    <c:strCache>
                      <c:ptCount val="1"/>
                      <c:pt idx="0">
                        <c:v>528 Tool</c:v>
                      </c:pt>
                    </c:strCache>
                  </c:strRef>
                </c:tx>
                <c:spPr>
                  <a:ln w="19050" cap="rnd">
                    <a:solidFill>
                      <a:srgbClr val="FE82DB"/>
                    </a:solidFill>
                    <a:prstDash val="sysDash"/>
                    <a:round/>
                  </a:ln>
                  <a:effectLst/>
                </c:spPr>
                <c:marker>
                  <c:symbol val="circle"/>
                  <c:size val="5"/>
                  <c:spPr>
                    <a:solidFill>
                      <a:srgbClr val="FE82DB"/>
                    </a:solidFill>
                    <a:ln w="9525">
                      <a:solidFill>
                        <a:srgbClr val="FE82DB"/>
                      </a:solidFill>
                    </a:ln>
                    <a:effectLst/>
                  </c:spPr>
                </c:marker>
                <c:cat>
                  <c:strRef>
                    <c:extLst>
                      <c:ex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c:ext uri="{02D57815-91ED-43cb-92C2-25804820EDAC}">
                        <c15:formulaRef>
                          <c15:sqref>ForageProductionModel!$C$29:$C$40</c15:sqref>
                        </c15:formulaRef>
                      </c:ext>
                    </c:extLst>
                    <c:numCache>
                      <c:formatCode>0.00</c:formatCode>
                      <c:ptCount val="12"/>
                      <c:pt idx="0">
                        <c:v>206.07581281748756</c:v>
                      </c:pt>
                      <c:pt idx="1">
                        <c:v>186.64160176163838</c:v>
                      </c:pt>
                      <c:pt idx="2">
                        <c:v>268.01043610438285</c:v>
                      </c:pt>
                      <c:pt idx="3">
                        <c:v>338.95188931141251</c:v>
                      </c:pt>
                      <c:pt idx="4">
                        <c:v>262.78804888843621</c:v>
                      </c:pt>
                      <c:pt idx="5">
                        <c:v>196.18202515240873</c:v>
                      </c:pt>
                      <c:pt idx="6">
                        <c:v>188.04538361055575</c:v>
                      </c:pt>
                      <c:pt idx="7">
                        <c:v>191.98846541389904</c:v>
                      </c:pt>
                      <c:pt idx="8">
                        <c:v>162.36400361245046</c:v>
                      </c:pt>
                      <c:pt idx="9">
                        <c:v>155.83844759253765</c:v>
                      </c:pt>
                      <c:pt idx="10">
                        <c:v>162.71631496668715</c:v>
                      </c:pt>
                      <c:pt idx="11">
                        <c:v>180.39757076810366</c:v>
                      </c:pt>
                    </c:numCache>
                  </c:numRef>
                </c:val>
                <c:smooth val="0"/>
                <c:extLst>
                  <c:ext xmlns:c16="http://schemas.microsoft.com/office/drawing/2014/chart" uri="{C3380CC4-5D6E-409C-BE32-E72D297353CC}">
                    <c16:uniqueId val="{00000001-75C2-477A-805C-BE04E8D1E48B}"/>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ForageProductionModel!$D$27</c15:sqref>
                        </c15:formulaRef>
                      </c:ext>
                    </c:extLst>
                    <c:strCache>
                      <c:ptCount val="1"/>
                      <c:pt idx="0">
                        <c:v>HFPET</c:v>
                      </c:pt>
                    </c:strCache>
                  </c:strRef>
                </c:tx>
                <c:spPr>
                  <a:ln w="19050" cap="rnd">
                    <a:solidFill>
                      <a:schemeClr val="accent2"/>
                    </a:solidFill>
                    <a:round/>
                  </a:ln>
                  <a:effectLst/>
                </c:spPr>
                <c:marker>
                  <c:symbol val="circle"/>
                  <c:size val="5"/>
                  <c:spPr>
                    <a:solidFill>
                      <a:srgbClr val="FF0000"/>
                    </a:solidFill>
                    <a:ln w="9525">
                      <a:solidFill>
                        <a:schemeClr val="accent2"/>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ForageProductionModel!$D$29:$D$40</c15:sqref>
                        </c15:formulaRef>
                      </c:ext>
                    </c:extLst>
                    <c:numCache>
                      <c:formatCode>0.00</c:formatCode>
                      <c:ptCount val="12"/>
                      <c:pt idx="0">
                        <c:v>577.69297091444196</c:v>
                      </c:pt>
                      <c:pt idx="1">
                        <c:v>489.81278813569878</c:v>
                      </c:pt>
                      <c:pt idx="2">
                        <c:v>651.43650284758121</c:v>
                      </c:pt>
                      <c:pt idx="3">
                        <c:v>548.17243384116682</c:v>
                      </c:pt>
                      <c:pt idx="4">
                        <c:v>346.50053862071371</c:v>
                      </c:pt>
                      <c:pt idx="5">
                        <c:v>281.50294923445205</c:v>
                      </c:pt>
                      <c:pt idx="6">
                        <c:v>313.92399546907876</c:v>
                      </c:pt>
                      <c:pt idx="7">
                        <c:v>297.28980353500248</c:v>
                      </c:pt>
                      <c:pt idx="8">
                        <c:v>195.31700593232787</c:v>
                      </c:pt>
                      <c:pt idx="9">
                        <c:v>271.16353802635996</c:v>
                      </c:pt>
                      <c:pt idx="10">
                        <c:v>430.8250110851618</c:v>
                      </c:pt>
                      <c:pt idx="11">
                        <c:v>600.96770766542932</c:v>
                      </c:pt>
                    </c:numCache>
                  </c:numRef>
                </c:val>
                <c:smooth val="0"/>
                <c:extLst xmlns:c15="http://schemas.microsoft.com/office/drawing/2012/chart">
                  <c:ext xmlns:c16="http://schemas.microsoft.com/office/drawing/2014/chart" uri="{C3380CC4-5D6E-409C-BE32-E72D297353CC}">
                    <c16:uniqueId val="{00000002-75C2-477A-805C-BE04E8D1E48B}"/>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ForageProductionModel!$G$27</c15:sqref>
                        </c15:formulaRef>
                      </c:ext>
                    </c:extLst>
                    <c:strCache>
                      <c:ptCount val="1"/>
                      <c:pt idx="0">
                        <c:v>EcoCrop</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ForageProductionModel!$G$29:$G$40</c15:sqref>
                        </c15:formulaRef>
                      </c:ext>
                    </c:extLst>
                    <c:numCache>
                      <c:formatCode>0.00</c:formatCode>
                      <c:ptCount val="12"/>
                      <c:pt idx="0">
                        <c:v>59.438804629496971</c:v>
                      </c:pt>
                      <c:pt idx="1">
                        <c:v>23.348800815097448</c:v>
                      </c:pt>
                      <c:pt idx="2">
                        <c:v>77.001760119066958</c:v>
                      </c:pt>
                      <c:pt idx="3">
                        <c:v>194.48550532916775</c:v>
                      </c:pt>
                      <c:pt idx="4">
                        <c:v>57.187476365338178</c:v>
                      </c:pt>
                      <c:pt idx="5">
                        <c:v>0</c:v>
                      </c:pt>
                      <c:pt idx="6">
                        <c:v>6.492812239081152</c:v>
                      </c:pt>
                      <c:pt idx="7">
                        <c:v>0</c:v>
                      </c:pt>
                      <c:pt idx="8">
                        <c:v>0</c:v>
                      </c:pt>
                      <c:pt idx="9">
                        <c:v>0</c:v>
                      </c:pt>
                      <c:pt idx="10">
                        <c:v>213.63533762402682</c:v>
                      </c:pt>
                      <c:pt idx="11">
                        <c:v>173.41844120805501</c:v>
                      </c:pt>
                    </c:numCache>
                  </c:numRef>
                </c:val>
                <c:smooth val="0"/>
                <c:extLst xmlns:c15="http://schemas.microsoft.com/office/drawing/2012/chart">
                  <c:ext xmlns:c16="http://schemas.microsoft.com/office/drawing/2014/chart" uri="{C3380CC4-5D6E-409C-BE32-E72D297353CC}">
                    <c16:uniqueId val="{00000003-75C2-477A-805C-BE04E8D1E48B}"/>
                  </c:ext>
                </c:extLst>
              </c15:ser>
            </c15:filteredLineSeries>
            <c15:filteredLineSeries>
              <c15:ser>
                <c:idx val="4"/>
                <c:order val="3"/>
                <c:tx>
                  <c:strRef>
                    <c:extLst xmlns:c15="http://schemas.microsoft.com/office/drawing/2012/chart">
                      <c:ext xmlns:c15="http://schemas.microsoft.com/office/drawing/2012/chart" uri="{02D57815-91ED-43cb-92C2-25804820EDAC}">
                        <c15:formulaRef>
                          <c15:sqref>ForageProductionModel!$E$27</c15:sqref>
                        </c15:formulaRef>
                      </c:ext>
                    </c:extLst>
                    <c:strCache>
                      <c:ptCount val="1"/>
                      <c:pt idx="0">
                        <c:v>Pasture Group</c:v>
                      </c:pt>
                    </c:strCache>
                  </c:strRef>
                </c:tx>
                <c:spPr>
                  <a:ln w="19050" cap="rnd">
                    <a:solidFill>
                      <a:schemeClr val="accent5"/>
                    </a:solidFill>
                    <a:round/>
                  </a:ln>
                  <a:effectLst/>
                </c:spPr>
                <c:marker>
                  <c:symbol val="circle"/>
                  <c:size val="5"/>
                  <c:spPr>
                    <a:solidFill>
                      <a:srgbClr val="FFC000"/>
                    </a:solidFill>
                    <a:ln w="9525">
                      <a:solidFill>
                        <a:srgbClr val="FFC000"/>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ForageProductionModel!$E$29:$E$40</c15:sqref>
                        </c15:formulaRef>
                      </c:ext>
                    </c:extLst>
                    <c:numCache>
                      <c:formatCode>0.00</c:formatCode>
                      <c:ptCount val="12"/>
                      <c:pt idx="0">
                        <c:v>266.1596958174905</c:v>
                      </c:pt>
                      <c:pt idx="1">
                        <c:v>247.14828897338404</c:v>
                      </c:pt>
                      <c:pt idx="2">
                        <c:v>602.5</c:v>
                      </c:pt>
                      <c:pt idx="3">
                        <c:v>332.69961977186313</c:v>
                      </c:pt>
                      <c:pt idx="4">
                        <c:v>190.11406844106463</c:v>
                      </c:pt>
                      <c:pt idx="5">
                        <c:v>95.057034220532316</c:v>
                      </c:pt>
                      <c:pt idx="6">
                        <c:v>50</c:v>
                      </c:pt>
                      <c:pt idx="7">
                        <c:v>50</c:v>
                      </c:pt>
                      <c:pt idx="8">
                        <c:v>50</c:v>
                      </c:pt>
                      <c:pt idx="9">
                        <c:v>50</c:v>
                      </c:pt>
                      <c:pt idx="10">
                        <c:v>190.11406844106463</c:v>
                      </c:pt>
                      <c:pt idx="11">
                        <c:v>375</c:v>
                      </c:pt>
                    </c:numCache>
                  </c:numRef>
                </c:val>
                <c:smooth val="0"/>
                <c:extLst xmlns:c15="http://schemas.microsoft.com/office/drawing/2012/chart">
                  <c:ext xmlns:c16="http://schemas.microsoft.com/office/drawing/2014/chart" uri="{C3380CC4-5D6E-409C-BE32-E72D297353CC}">
                    <c16:uniqueId val="{00000004-75C2-477A-805C-BE04E8D1E48B}"/>
                  </c:ext>
                </c:extLst>
              </c15:ser>
            </c15:filteredLineSeries>
            <c15:filteredLineSeries>
              <c15:ser>
                <c:idx val="7"/>
                <c:order val="4"/>
                <c:tx>
                  <c:strRef>
                    <c:extLst xmlns:c15="http://schemas.microsoft.com/office/drawing/2012/chart">
                      <c:ext xmlns:c15="http://schemas.microsoft.com/office/drawing/2012/chart" uri="{02D57815-91ED-43cb-92C2-25804820EDAC}">
                        <c15:formulaRef>
                          <c15:sqref>ForageProductionModel!$F$27</c15:sqref>
                        </c15:formulaRef>
                      </c:ext>
                    </c:extLst>
                    <c:strCache>
                      <c:ptCount val="1"/>
                      <c:pt idx="0">
                        <c:v>Joe May</c:v>
                      </c:pt>
                    </c:strCache>
                  </c:strRef>
                </c:tx>
                <c:spPr>
                  <a:ln w="19050" cap="rnd">
                    <a:solidFill>
                      <a:schemeClr val="accent2">
                        <a:lumMod val="60000"/>
                      </a:schemeClr>
                    </a:solidFill>
                    <a:round/>
                  </a:ln>
                  <a:effectLst/>
                </c:spPr>
                <c:marker>
                  <c:symbol val="circle"/>
                  <c:size val="5"/>
                  <c:spPr>
                    <a:solidFill>
                      <a:schemeClr val="accent1"/>
                    </a:solidFill>
                    <a:ln w="9525">
                      <a:solidFill>
                        <a:schemeClr val="accent2">
                          <a:lumMod val="60000"/>
                        </a:schemeClr>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ForageProductionModel!$F$29:$F$40</c15:sqref>
                        </c15:formulaRef>
                      </c:ext>
                    </c:extLst>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75C2-477A-805C-BE04E8D1E48B}"/>
                  </c:ext>
                </c:extLst>
              </c15:ser>
            </c15:filteredLineSeries>
          </c:ext>
        </c:extLst>
      </c:lineChart>
      <c:catAx>
        <c:axId val="5502327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440"/>
        <c:crosses val="autoZero"/>
        <c:auto val="1"/>
        <c:lblAlgn val="ctr"/>
        <c:lblOffset val="100"/>
        <c:noMultiLvlLbl val="1"/>
      </c:catAx>
      <c:valAx>
        <c:axId val="550232440"/>
        <c:scaling>
          <c:orientation val="minMax"/>
          <c:max val="0.3000000000000000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t>
                </a:r>
                <a:r>
                  <a:rPr lang="en-US" baseline="0"/>
                  <a:t> Total Forage Production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Forage</a:t>
            </a:r>
            <a:r>
              <a:rPr lang="en-US" baseline="0"/>
              <a:t> Yield Curves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ForageProductionModel!$D$27</c:f>
              <c:strCache>
                <c:ptCount val="1"/>
                <c:pt idx="0">
                  <c:v>HFPET</c:v>
                </c:pt>
              </c:strCache>
            </c:strRef>
          </c:tx>
          <c:spPr>
            <a:ln w="19050" cap="rnd">
              <a:noFill/>
              <a:round/>
            </a:ln>
            <a:effectLst/>
          </c:spPr>
          <c:marker>
            <c:symbol val="circle"/>
            <c:size val="5"/>
            <c:spPr>
              <a:solidFill>
                <a:srgbClr val="FE82DB"/>
              </a:solidFill>
              <a:ln w="9525">
                <a:solidFill>
                  <a:srgbClr val="FE82DB"/>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ForageProductionModel!$D$29:$D$40</c:f>
              <c:numCache>
                <c:formatCode>0.00</c:formatCode>
                <c:ptCount val="12"/>
                <c:pt idx="0">
                  <c:v>577.69297091444196</c:v>
                </c:pt>
                <c:pt idx="1">
                  <c:v>489.81278813569878</c:v>
                </c:pt>
                <c:pt idx="2">
                  <c:v>651.43650284758121</c:v>
                </c:pt>
                <c:pt idx="3">
                  <c:v>548.17243384116682</c:v>
                </c:pt>
                <c:pt idx="4">
                  <c:v>346.50053862071371</c:v>
                </c:pt>
                <c:pt idx="5">
                  <c:v>281.50294923445205</c:v>
                </c:pt>
                <c:pt idx="6">
                  <c:v>313.92399546907876</c:v>
                </c:pt>
                <c:pt idx="7">
                  <c:v>297.28980353500248</c:v>
                </c:pt>
                <c:pt idx="8">
                  <c:v>195.31700593232787</c:v>
                </c:pt>
                <c:pt idx="9">
                  <c:v>271.16353802635996</c:v>
                </c:pt>
                <c:pt idx="10">
                  <c:v>430.8250110851618</c:v>
                </c:pt>
                <c:pt idx="11">
                  <c:v>600.96770766542932</c:v>
                </c:pt>
              </c:numCache>
            </c:numRef>
          </c:yVal>
          <c:smooth val="0"/>
          <c:extLst>
            <c:ext xmlns:c16="http://schemas.microsoft.com/office/drawing/2014/chart" uri="{C3380CC4-5D6E-409C-BE32-E72D297353CC}">
              <c16:uniqueId val="{00000000-798A-4C7C-83AA-887E3222185C}"/>
            </c:ext>
          </c:extLst>
        </c:ser>
        <c:ser>
          <c:idx val="1"/>
          <c:order val="1"/>
          <c:tx>
            <c:strRef>
              <c:f>ForageProductionModel!$G$27</c:f>
              <c:strCache>
                <c:ptCount val="1"/>
                <c:pt idx="0">
                  <c:v>EcoCrop</c:v>
                </c:pt>
              </c:strCache>
            </c:strRef>
          </c:tx>
          <c:spPr>
            <a:ln w="19050" cap="rnd">
              <a:noFill/>
              <a:round/>
            </a:ln>
            <a:effectLst/>
          </c:spPr>
          <c:marker>
            <c:symbol val="circle"/>
            <c:size val="5"/>
            <c:spPr>
              <a:solidFill>
                <a:srgbClr val="FF0000"/>
              </a:solidFill>
              <a:ln w="9525">
                <a:solidFill>
                  <a:schemeClr val="accent2"/>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ForageProductionModel!$G$29:$G$40</c:f>
              <c:numCache>
                <c:formatCode>0.00</c:formatCode>
                <c:ptCount val="12"/>
                <c:pt idx="0">
                  <c:v>59.438804629496971</c:v>
                </c:pt>
                <c:pt idx="1">
                  <c:v>23.348800815097448</c:v>
                </c:pt>
                <c:pt idx="2">
                  <c:v>77.001760119066958</c:v>
                </c:pt>
                <c:pt idx="3">
                  <c:v>194.48550532916775</c:v>
                </c:pt>
                <c:pt idx="4">
                  <c:v>57.187476365338178</c:v>
                </c:pt>
                <c:pt idx="5">
                  <c:v>0</c:v>
                </c:pt>
                <c:pt idx="6">
                  <c:v>6.492812239081152</c:v>
                </c:pt>
                <c:pt idx="7">
                  <c:v>0</c:v>
                </c:pt>
                <c:pt idx="8">
                  <c:v>0</c:v>
                </c:pt>
                <c:pt idx="9">
                  <c:v>0</c:v>
                </c:pt>
                <c:pt idx="10">
                  <c:v>213.63533762402682</c:v>
                </c:pt>
                <c:pt idx="11">
                  <c:v>173.41844120805501</c:v>
                </c:pt>
              </c:numCache>
            </c:numRef>
          </c:yVal>
          <c:smooth val="0"/>
          <c:extLst>
            <c:ext xmlns:c16="http://schemas.microsoft.com/office/drawing/2014/chart" uri="{C3380CC4-5D6E-409C-BE32-E72D297353CC}">
              <c16:uniqueId val="{00000001-798A-4C7C-83AA-887E3222185C}"/>
            </c:ext>
          </c:extLst>
        </c:ser>
        <c:ser>
          <c:idx val="3"/>
          <c:order val="2"/>
          <c:tx>
            <c:strRef>
              <c:f>ForageProductionModel!$E$27</c:f>
              <c:strCache>
                <c:ptCount val="1"/>
                <c:pt idx="0">
                  <c:v>Pasture Group</c:v>
                </c:pt>
              </c:strCache>
            </c:strRef>
          </c:tx>
          <c:spPr>
            <a:ln w="19050" cap="rnd">
              <a:noFill/>
              <a:round/>
            </a:ln>
            <a:effectLst/>
          </c:spPr>
          <c:marker>
            <c:symbol val="circle"/>
            <c:size val="5"/>
            <c:spPr>
              <a:solidFill>
                <a:schemeClr val="accent4"/>
              </a:solidFill>
              <a:ln w="9525">
                <a:solidFill>
                  <a:schemeClr val="accent4"/>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ForageProductionModel!$E$29:$E$40</c:f>
              <c:numCache>
                <c:formatCode>0.00</c:formatCode>
                <c:ptCount val="12"/>
                <c:pt idx="0">
                  <c:v>266.1596958174905</c:v>
                </c:pt>
                <c:pt idx="1">
                  <c:v>247.14828897338404</c:v>
                </c:pt>
                <c:pt idx="2">
                  <c:v>602.5</c:v>
                </c:pt>
                <c:pt idx="3">
                  <c:v>332.69961977186313</c:v>
                </c:pt>
                <c:pt idx="4">
                  <c:v>190.11406844106463</c:v>
                </c:pt>
                <c:pt idx="5">
                  <c:v>95.057034220532316</c:v>
                </c:pt>
                <c:pt idx="6">
                  <c:v>50</c:v>
                </c:pt>
                <c:pt idx="7">
                  <c:v>50</c:v>
                </c:pt>
                <c:pt idx="8">
                  <c:v>50</c:v>
                </c:pt>
                <c:pt idx="9">
                  <c:v>50</c:v>
                </c:pt>
                <c:pt idx="10">
                  <c:v>190.11406844106463</c:v>
                </c:pt>
                <c:pt idx="11">
                  <c:v>375</c:v>
                </c:pt>
              </c:numCache>
            </c:numRef>
          </c:yVal>
          <c:smooth val="0"/>
          <c:extLst>
            <c:ext xmlns:c16="http://schemas.microsoft.com/office/drawing/2014/chart" uri="{C3380CC4-5D6E-409C-BE32-E72D297353CC}">
              <c16:uniqueId val="{00000002-798A-4C7C-83AA-887E3222185C}"/>
            </c:ext>
          </c:extLst>
        </c:ser>
        <c:ser>
          <c:idx val="6"/>
          <c:order val="3"/>
          <c:tx>
            <c:strRef>
              <c:f>ForageProductionModel!$F$27</c:f>
              <c:strCache>
                <c:ptCount val="1"/>
                <c:pt idx="0">
                  <c:v>Joe May</c:v>
                </c:pt>
              </c:strCache>
            </c:strRef>
          </c:tx>
          <c:spPr>
            <a:ln w="25400" cap="rnd">
              <a:noFill/>
              <a:round/>
            </a:ln>
            <a:effectLst/>
          </c:spPr>
          <c:marker>
            <c:symbol val="circle"/>
            <c:size val="5"/>
            <c:spPr>
              <a:solidFill>
                <a:schemeClr val="accent1">
                  <a:lumMod val="40000"/>
                  <a:lumOff val="60000"/>
                </a:schemeClr>
              </a:solidFill>
              <a:ln w="9525">
                <a:solidFill>
                  <a:schemeClr val="accent1">
                    <a:lumMod val="60000"/>
                  </a:schemeClr>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ForageProductionModel!$F$29:$F$40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98A-4C7C-83AA-887E3222185C}"/>
            </c:ext>
          </c:extLst>
        </c:ser>
        <c:ser>
          <c:idx val="8"/>
          <c:order val="4"/>
          <c:tx>
            <c:strRef>
              <c:f>ForageProductionModel!$H$27</c:f>
              <c:strCache>
                <c:ptCount val="1"/>
                <c:pt idx="0">
                  <c:v>Ensemble</c:v>
                </c:pt>
              </c:strCache>
            </c:strRef>
          </c:tx>
          <c:spPr>
            <a:ln w="25400" cap="rnd">
              <a:solidFill>
                <a:schemeClr val="tx1"/>
              </a:solidFill>
              <a:prstDash val="sysDash"/>
              <a:round/>
            </a:ln>
            <a:effectLst/>
          </c:spPr>
          <c:marker>
            <c:symbol val="circle"/>
            <c:size val="5"/>
            <c:spPr>
              <a:solidFill>
                <a:schemeClr val="tx1"/>
              </a:solidFill>
              <a:ln w="9525">
                <a:solidFill>
                  <a:schemeClr val="tx1"/>
                </a:solidFill>
              </a:ln>
              <a:effectLst/>
            </c:spPr>
          </c:marker>
          <c:dPt>
            <c:idx val="0"/>
            <c:marker>
              <c:symbol val="circle"/>
              <c:size val="5"/>
              <c:spPr>
                <a:solidFill>
                  <a:schemeClr val="tx1"/>
                </a:solidFill>
                <a:ln w="9525">
                  <a:solidFill>
                    <a:schemeClr val="tx1"/>
                  </a:solidFill>
                </a:ln>
                <a:effectLst/>
              </c:spPr>
            </c:marker>
            <c:bubble3D val="0"/>
            <c:spPr>
              <a:ln w="25400" cap="rnd">
                <a:solidFill>
                  <a:schemeClr val="tx1"/>
                </a:solidFill>
                <a:prstDash val="sysDash"/>
                <a:round/>
              </a:ln>
              <a:effectLst/>
            </c:spPr>
            <c:extLst>
              <c:ext xmlns:c16="http://schemas.microsoft.com/office/drawing/2014/chart" uri="{C3380CC4-5D6E-409C-BE32-E72D297353CC}">
                <c16:uniqueId val="{00000005-798A-4C7C-83AA-887E3222185C}"/>
              </c:ext>
            </c:extLst>
          </c:dPt>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ForageProductionModel!$H$29:$H$40</c:f>
              <c:numCache>
                <c:formatCode>0.00</c:formatCode>
                <c:ptCount val="12"/>
                <c:pt idx="0">
                  <c:v>277.34182104472922</c:v>
                </c:pt>
                <c:pt idx="1">
                  <c:v>236.73786992145466</c:v>
                </c:pt>
                <c:pt idx="2">
                  <c:v>399.73717476775778</c:v>
                </c:pt>
                <c:pt idx="3">
                  <c:v>353.57736206340257</c:v>
                </c:pt>
                <c:pt idx="4">
                  <c:v>214.14753307888819</c:v>
                </c:pt>
                <c:pt idx="5">
                  <c:v>143.18550215184825</c:v>
                </c:pt>
                <c:pt idx="6">
                  <c:v>139.61554782967892</c:v>
                </c:pt>
                <c:pt idx="7">
                  <c:v>134.81956723722539</c:v>
                </c:pt>
                <c:pt idx="8">
                  <c:v>101.92025238619459</c:v>
                </c:pt>
                <c:pt idx="9">
                  <c:v>119.2504964047244</c:v>
                </c:pt>
                <c:pt idx="10">
                  <c:v>249.32268302923512</c:v>
                </c:pt>
                <c:pt idx="11">
                  <c:v>332.44592991039701</c:v>
                </c:pt>
              </c:numCache>
            </c:numRef>
          </c:yVal>
          <c:smooth val="0"/>
          <c:extLst>
            <c:ext xmlns:c16="http://schemas.microsoft.com/office/drawing/2014/chart" uri="{C3380CC4-5D6E-409C-BE32-E72D297353CC}">
              <c16:uniqueId val="{00000006-798A-4C7C-83AA-887E3222185C}"/>
            </c:ext>
          </c:extLst>
        </c:ser>
        <c:ser>
          <c:idx val="2"/>
          <c:order val="5"/>
          <c:tx>
            <c:strRef>
              <c:f>ForageProductionModel!$C$27</c:f>
              <c:strCache>
                <c:ptCount val="1"/>
                <c:pt idx="0">
                  <c:v>528 Tool</c:v>
                </c:pt>
              </c:strCache>
            </c:strRef>
          </c:tx>
          <c:spPr>
            <a:ln w="25400" cap="rnd">
              <a:noFill/>
              <a:round/>
            </a:ln>
            <a:effectLst/>
          </c:spPr>
          <c:marker>
            <c:symbol val="circle"/>
            <c:size val="5"/>
            <c:spPr>
              <a:solidFill>
                <a:schemeClr val="accent3"/>
              </a:solidFill>
              <a:ln w="9525">
                <a:solidFill>
                  <a:schemeClr val="accent3"/>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ForageProductionModel!$C$29:$C$40</c:f>
              <c:numCache>
                <c:formatCode>0.00</c:formatCode>
                <c:ptCount val="12"/>
                <c:pt idx="0">
                  <c:v>206.07581281748756</c:v>
                </c:pt>
                <c:pt idx="1">
                  <c:v>186.64160176163838</c:v>
                </c:pt>
                <c:pt idx="2">
                  <c:v>268.01043610438285</c:v>
                </c:pt>
                <c:pt idx="3">
                  <c:v>338.95188931141251</c:v>
                </c:pt>
                <c:pt idx="4">
                  <c:v>262.78804888843621</c:v>
                </c:pt>
                <c:pt idx="5">
                  <c:v>196.18202515240873</c:v>
                </c:pt>
                <c:pt idx="6">
                  <c:v>188.04538361055575</c:v>
                </c:pt>
                <c:pt idx="7">
                  <c:v>191.98846541389904</c:v>
                </c:pt>
                <c:pt idx="8">
                  <c:v>162.36400361245046</c:v>
                </c:pt>
                <c:pt idx="9">
                  <c:v>155.83844759253765</c:v>
                </c:pt>
                <c:pt idx="10">
                  <c:v>162.71631496668715</c:v>
                </c:pt>
                <c:pt idx="11">
                  <c:v>180.39757076810366</c:v>
                </c:pt>
              </c:numCache>
            </c:numRef>
          </c:yVal>
          <c:smooth val="0"/>
          <c:extLst>
            <c:ext xmlns:c16="http://schemas.microsoft.com/office/drawing/2014/chart" uri="{C3380CC4-5D6E-409C-BE32-E72D297353CC}">
              <c16:uniqueId val="{00000007-798A-4C7C-83AA-887E3222185C}"/>
            </c:ext>
          </c:extLst>
        </c:ser>
        <c:dLbls>
          <c:showLegendKey val="0"/>
          <c:showVal val="0"/>
          <c:showCatName val="0"/>
          <c:showSerName val="0"/>
          <c:showPercent val="0"/>
          <c:showBubbleSize val="0"/>
        </c:dLbls>
        <c:axId val="550232768"/>
        <c:axId val="550232440"/>
        <c:extLst/>
      </c:scatterChart>
      <c:valAx>
        <c:axId val="5502327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440"/>
        <c:crosses val="autoZero"/>
        <c:crossBetween val="midCat"/>
      </c:valAx>
      <c:valAx>
        <c:axId val="550232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Forage Yield, lbs/acre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0318292633007"/>
          <c:y val="0.20277570114107829"/>
          <c:w val="0.83097008207437051"/>
          <c:h val="0.64355252584071609"/>
        </c:manualLayout>
      </c:layout>
      <c:lineChart>
        <c:grouping val="standard"/>
        <c:varyColors val="0"/>
        <c:ser>
          <c:idx val="0"/>
          <c:order val="0"/>
          <c:tx>
            <c:v>Forage Growth (Lbs)</c:v>
          </c:tx>
          <c:spPr>
            <a:ln>
              <a:solidFill>
                <a:schemeClr val="accent3"/>
              </a:solidFill>
            </a:ln>
          </c:spPr>
          <c:marker>
            <c:symbol val="circle"/>
            <c:size val="10"/>
            <c:spPr>
              <a:solidFill>
                <a:schemeClr val="accent3"/>
              </a:solidFill>
              <a:ln>
                <a:solidFill>
                  <a:schemeClr val="accent3"/>
                </a:solidFill>
              </a:ln>
            </c:spPr>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Balance'!$N$229:$Y$229</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1438-477D-BC42-82FFB6198967}"/>
            </c:ext>
          </c:extLst>
        </c:ser>
        <c:ser>
          <c:idx val="1"/>
          <c:order val="1"/>
          <c:tx>
            <c:v>Forage Demand (Lbs)</c:v>
          </c:tx>
          <c:marker>
            <c:symbol val="square"/>
            <c:size val="8"/>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Balance'!$N$230:$Y$230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1438-477D-BC42-82FFB6198967}"/>
            </c:ext>
          </c:extLst>
        </c:ser>
        <c:ser>
          <c:idx val="2"/>
          <c:order val="2"/>
          <c:tx>
            <c:v>Accumulated Balance (Lbs)</c:v>
          </c:tx>
          <c:spPr>
            <a:ln>
              <a:solidFill>
                <a:srgbClr val="0070C0"/>
              </a:solidFill>
            </a:ln>
          </c:spPr>
          <c:marker>
            <c:symbol val="triangle"/>
            <c:size val="10"/>
            <c:spPr>
              <a:solidFill>
                <a:srgbClr val="0070C0"/>
              </a:solidFill>
              <a:ln>
                <a:solidFill>
                  <a:srgbClr val="0070C0"/>
                </a:solidFill>
              </a:ln>
            </c:spPr>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Balance'!$N$232:$Y$232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1438-477D-BC42-82FFB6198967}"/>
            </c:ext>
          </c:extLst>
        </c:ser>
        <c:dLbls>
          <c:showLegendKey val="0"/>
          <c:showVal val="0"/>
          <c:showCatName val="0"/>
          <c:showSerName val="0"/>
          <c:showPercent val="0"/>
          <c:showBubbleSize val="0"/>
        </c:dLbls>
        <c:marker val="1"/>
        <c:smooth val="0"/>
        <c:axId val="287754056"/>
        <c:axId val="210483576"/>
      </c:lineChart>
      <c:catAx>
        <c:axId val="287754056"/>
        <c:scaling>
          <c:orientation val="minMax"/>
        </c:scaling>
        <c:delete val="0"/>
        <c:axPos val="b"/>
        <c:numFmt formatCode="General" sourceLinked="0"/>
        <c:majorTickMark val="out"/>
        <c:minorTickMark val="none"/>
        <c:tickLblPos val="nextTo"/>
        <c:spPr>
          <a:ln w="38100">
            <a:solidFill>
              <a:schemeClr val="tx1"/>
            </a:solidFill>
          </a:ln>
        </c:spPr>
        <c:txPr>
          <a:bodyPr/>
          <a:lstStyle/>
          <a:p>
            <a:pPr>
              <a:defRPr sz="1200">
                <a:latin typeface="Arial" pitchFamily="34" charset="0"/>
                <a:cs typeface="Arial" pitchFamily="34" charset="0"/>
              </a:defRPr>
            </a:pPr>
            <a:endParaRPr lang="en-US"/>
          </a:p>
        </c:txPr>
        <c:crossAx val="210483576"/>
        <c:crosses val="autoZero"/>
        <c:auto val="1"/>
        <c:lblAlgn val="ctr"/>
        <c:lblOffset val="100"/>
        <c:noMultiLvlLbl val="0"/>
      </c:catAx>
      <c:valAx>
        <c:axId val="210483576"/>
        <c:scaling>
          <c:orientation val="minMax"/>
        </c:scaling>
        <c:delete val="0"/>
        <c:axPos val="l"/>
        <c:majorGridlines/>
        <c:numFmt formatCode="#,##0" sourceLinked="1"/>
        <c:majorTickMark val="out"/>
        <c:minorTickMark val="none"/>
        <c:tickLblPos val="nextTo"/>
        <c:txPr>
          <a:bodyPr/>
          <a:lstStyle/>
          <a:p>
            <a:pPr>
              <a:defRPr sz="1200">
                <a:latin typeface="Arial" pitchFamily="34" charset="0"/>
                <a:cs typeface="Arial" pitchFamily="34" charset="0"/>
              </a:defRPr>
            </a:pPr>
            <a:endParaRPr lang="en-US"/>
          </a:p>
        </c:txPr>
        <c:crossAx val="287754056"/>
        <c:crosses val="autoZero"/>
        <c:crossBetween val="between"/>
      </c:valAx>
    </c:plotArea>
    <c:legend>
      <c:legendPos val="r"/>
      <c:layout>
        <c:manualLayout>
          <c:xMode val="edge"/>
          <c:yMode val="edge"/>
          <c:x val="0.14719995687010526"/>
          <c:y val="0.90895500220350667"/>
          <c:w val="0.76520922689541859"/>
          <c:h val="6.6010196233034182E-2"/>
        </c:manualLayout>
      </c:layout>
      <c:overlay val="0"/>
      <c:spPr>
        <a:ln>
          <a:solidFill>
            <a:schemeClr val="tx1"/>
          </a:solidFill>
        </a:ln>
      </c:spPr>
      <c:txPr>
        <a:bodyPr/>
        <a:lstStyle/>
        <a:p>
          <a:pPr>
            <a:defRPr sz="1200">
              <a:latin typeface="Arial" pitchFamily="34" charset="0"/>
              <a:cs typeface="Arial" pitchFamily="34" charset="0"/>
            </a:defRPr>
          </a:pPr>
          <a:endParaRPr lang="en-US"/>
        </a:p>
      </c:txPr>
    </c:legend>
    <c:plotVisOnly val="1"/>
    <c:dispBlanksAs val="gap"/>
    <c:showDLblsOverMax val="0"/>
  </c:chart>
  <c:spPr>
    <a:ln w="25400">
      <a:solidFill>
        <a:schemeClr val="tx1"/>
      </a:solidFill>
    </a:ln>
  </c:spPr>
  <c:printSettings>
    <c:headerFooter/>
    <c:pageMargins b="0.75" l="0.7" r="0.7" t="0.5" header="0.3" footer="0.3"/>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65913507015966"/>
          <c:y val="0.21177241726732252"/>
          <c:w val="0.84806104931366544"/>
          <c:h val="0.63234699964286989"/>
        </c:manualLayout>
      </c:layout>
      <c:lineChart>
        <c:grouping val="standard"/>
        <c:varyColors val="0"/>
        <c:ser>
          <c:idx val="0"/>
          <c:order val="0"/>
          <c:tx>
            <c:v>Forage Growth (Lbs)</c:v>
          </c:tx>
          <c:spPr>
            <a:ln>
              <a:solidFill>
                <a:schemeClr val="accent3"/>
              </a:solidFill>
            </a:ln>
          </c:spPr>
          <c:marker>
            <c:symbol val="circle"/>
            <c:size val="10"/>
            <c:spPr>
              <a:solidFill>
                <a:schemeClr val="accent3"/>
              </a:solidFill>
              <a:ln>
                <a:solidFill>
                  <a:schemeClr val="accent3"/>
                </a:solidFill>
              </a:ln>
            </c:spPr>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Balance'!$N$234:$Y$234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E39-41A5-891E-FA7A64F0323B}"/>
            </c:ext>
          </c:extLst>
        </c:ser>
        <c:ser>
          <c:idx val="1"/>
          <c:order val="1"/>
          <c:tx>
            <c:v>Forage Demand (Lbs)</c:v>
          </c:tx>
          <c:marker>
            <c:symbol val="square"/>
            <c:size val="8"/>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Balance'!$N$235:$Y$235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E39-41A5-891E-FA7A64F0323B}"/>
            </c:ext>
          </c:extLst>
        </c:ser>
        <c:ser>
          <c:idx val="2"/>
          <c:order val="2"/>
          <c:tx>
            <c:v>Accumulated Balance (Lbs)</c:v>
          </c:tx>
          <c:spPr>
            <a:ln>
              <a:solidFill>
                <a:srgbClr val="0070C0"/>
              </a:solidFill>
            </a:ln>
          </c:spPr>
          <c:marker>
            <c:symbol val="triangle"/>
            <c:size val="10"/>
            <c:spPr>
              <a:solidFill>
                <a:srgbClr val="0070C0"/>
              </a:solidFill>
              <a:ln>
                <a:solidFill>
                  <a:srgbClr val="0070C0"/>
                </a:solidFill>
              </a:ln>
            </c:spPr>
          </c:marker>
          <c:val>
            <c:numRef>
              <c:f>'Step 3. FA Balance'!$N$237:$Y$237</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7E39-41A5-891E-FA7A64F0323B}"/>
            </c:ext>
          </c:extLst>
        </c:ser>
        <c:dLbls>
          <c:showLegendKey val="0"/>
          <c:showVal val="0"/>
          <c:showCatName val="0"/>
          <c:showSerName val="0"/>
          <c:showPercent val="0"/>
          <c:showBubbleSize val="0"/>
        </c:dLbls>
        <c:marker val="1"/>
        <c:smooth val="0"/>
        <c:axId val="316091048"/>
        <c:axId val="316091440"/>
      </c:lineChart>
      <c:catAx>
        <c:axId val="316091048"/>
        <c:scaling>
          <c:orientation val="minMax"/>
        </c:scaling>
        <c:delete val="0"/>
        <c:axPos val="b"/>
        <c:numFmt formatCode="General" sourceLinked="0"/>
        <c:majorTickMark val="out"/>
        <c:minorTickMark val="none"/>
        <c:tickLblPos val="nextTo"/>
        <c:spPr>
          <a:ln w="38100">
            <a:solidFill>
              <a:schemeClr val="tx1"/>
            </a:solidFill>
          </a:ln>
        </c:spPr>
        <c:txPr>
          <a:bodyPr/>
          <a:lstStyle/>
          <a:p>
            <a:pPr>
              <a:defRPr sz="1200">
                <a:latin typeface="Arial" pitchFamily="34" charset="0"/>
                <a:cs typeface="Arial" pitchFamily="34" charset="0"/>
              </a:defRPr>
            </a:pPr>
            <a:endParaRPr lang="en-US"/>
          </a:p>
        </c:txPr>
        <c:crossAx val="316091440"/>
        <c:crosses val="autoZero"/>
        <c:auto val="1"/>
        <c:lblAlgn val="ctr"/>
        <c:lblOffset val="100"/>
        <c:noMultiLvlLbl val="0"/>
      </c:catAx>
      <c:valAx>
        <c:axId val="316091440"/>
        <c:scaling>
          <c:orientation val="minMax"/>
        </c:scaling>
        <c:delete val="0"/>
        <c:axPos val="l"/>
        <c:majorGridlines/>
        <c:numFmt formatCode="#,##0" sourceLinked="1"/>
        <c:majorTickMark val="out"/>
        <c:minorTickMark val="none"/>
        <c:tickLblPos val="nextTo"/>
        <c:txPr>
          <a:bodyPr/>
          <a:lstStyle/>
          <a:p>
            <a:pPr>
              <a:defRPr sz="1200">
                <a:latin typeface="Arial" pitchFamily="34" charset="0"/>
                <a:cs typeface="Arial" pitchFamily="34" charset="0"/>
              </a:defRPr>
            </a:pPr>
            <a:endParaRPr lang="en-US"/>
          </a:p>
        </c:txPr>
        <c:crossAx val="316091048"/>
        <c:crosses val="autoZero"/>
        <c:crossBetween val="between"/>
      </c:valAx>
    </c:plotArea>
    <c:legend>
      <c:legendPos val="r"/>
      <c:layout>
        <c:manualLayout>
          <c:xMode val="edge"/>
          <c:yMode val="edge"/>
          <c:x val="0.13254378479934911"/>
          <c:y val="0.90709374190058223"/>
          <c:w val="0.82411956450141177"/>
          <c:h val="6.8628835365440746E-2"/>
        </c:manualLayout>
      </c:layout>
      <c:overlay val="0"/>
      <c:spPr>
        <a:ln>
          <a:solidFill>
            <a:schemeClr val="tx1"/>
          </a:solidFill>
        </a:ln>
      </c:spPr>
      <c:txPr>
        <a:bodyPr/>
        <a:lstStyle/>
        <a:p>
          <a:pPr>
            <a:defRPr sz="1200">
              <a:latin typeface="Arial" pitchFamily="34" charset="0"/>
              <a:cs typeface="Arial" pitchFamily="34" charset="0"/>
            </a:defRPr>
          </a:pPr>
          <a:endParaRPr lang="en-US"/>
        </a:p>
      </c:txPr>
    </c:legend>
    <c:plotVisOnly val="1"/>
    <c:dispBlanksAs val="gap"/>
    <c:showDLblsOverMax val="0"/>
  </c:chart>
  <c:spPr>
    <a:ln w="25400">
      <a:solidFill>
        <a:schemeClr val="tx1"/>
      </a:solidFill>
    </a:ln>
  </c:spPr>
  <c:printSettings>
    <c:headerFooter/>
    <c:pageMargins b="0.75" l="0.7" r="0.7" t="0.5" header="0.3" footer="0.3"/>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Average Monthly Precipitation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ForageProductionModel!$B$10:$B$21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ForageProductionModel!$D$10:$D$21</c:f>
              <c:numCache>
                <c:formatCode>0.00</c:formatCode>
                <c:ptCount val="12"/>
                <c:pt idx="0">
                  <c:v>5.47057737608373</c:v>
                </c:pt>
                <c:pt idx="1">
                  <c:v>4.6383786755274503</c:v>
                </c:pt>
                <c:pt idx="2">
                  <c:v>6.1689062769657301</c:v>
                </c:pt>
                <c:pt idx="3">
                  <c:v>5.1910268356171096</c:v>
                </c:pt>
                <c:pt idx="4">
                  <c:v>3.2812551005749402</c:v>
                </c:pt>
                <c:pt idx="5">
                  <c:v>2.66574762532625</c:v>
                </c:pt>
                <c:pt idx="6">
                  <c:v>2.9727651086087001</c:v>
                </c:pt>
                <c:pt idx="7">
                  <c:v>2.8152443516572201</c:v>
                </c:pt>
                <c:pt idx="8">
                  <c:v>1.84959285920765</c:v>
                </c:pt>
                <c:pt idx="9">
                  <c:v>2.5678365343405298</c:v>
                </c:pt>
                <c:pt idx="10">
                  <c:v>4.0797823019428199</c:v>
                </c:pt>
                <c:pt idx="11">
                  <c:v>5.6909820801650497</c:v>
                </c:pt>
              </c:numCache>
            </c:numRef>
          </c:val>
          <c:extLst>
            <c:ext xmlns:c16="http://schemas.microsoft.com/office/drawing/2014/chart" uri="{C3380CC4-5D6E-409C-BE32-E72D297353CC}">
              <c16:uniqueId val="{00000000-7802-4996-929C-4DB10419B4FB}"/>
            </c:ext>
          </c:extLst>
        </c:ser>
        <c:dLbls>
          <c:showLegendKey val="0"/>
          <c:showVal val="0"/>
          <c:showCatName val="0"/>
          <c:showSerName val="0"/>
          <c:showPercent val="0"/>
          <c:showBubbleSize val="0"/>
        </c:dLbls>
        <c:gapWidth val="219"/>
        <c:axId val="577732136"/>
        <c:axId val="577730496"/>
      </c:barChart>
      <c:lineChart>
        <c:grouping val="standard"/>
        <c:varyColors val="0"/>
        <c:ser>
          <c:idx val="1"/>
          <c:order val="1"/>
          <c:tx>
            <c:v>Average Monthly Temperature</c:v>
          </c:tx>
          <c:spPr>
            <a:ln w="28575" cap="rnd">
              <a:solidFill>
                <a:schemeClr val="accent2"/>
              </a:solidFill>
              <a:round/>
            </a:ln>
            <a:effectLst/>
          </c:spPr>
          <c:marker>
            <c:symbol val="none"/>
          </c:marker>
          <c:val>
            <c:numRef>
              <c:f>ForageProductionModel!$C$10:$C$21</c:f>
              <c:numCache>
                <c:formatCode>0.00</c:formatCode>
                <c:ptCount val="12"/>
                <c:pt idx="0">
                  <c:v>66.784868143959599</c:v>
                </c:pt>
                <c:pt idx="1">
                  <c:v>66.468070391520797</c:v>
                </c:pt>
                <c:pt idx="2">
                  <c:v>67.077458402421598</c:v>
                </c:pt>
                <c:pt idx="3">
                  <c:v>68.113705654714096</c:v>
                </c:pt>
                <c:pt idx="4">
                  <c:v>69.546512753595593</c:v>
                </c:pt>
                <c:pt idx="5">
                  <c:v>70.685482095356903</c:v>
                </c:pt>
                <c:pt idx="6">
                  <c:v>71.728626410601905</c:v>
                </c:pt>
                <c:pt idx="7">
                  <c:v>72.299799041621696</c:v>
                </c:pt>
                <c:pt idx="8">
                  <c:v>72.047562554001004</c:v>
                </c:pt>
                <c:pt idx="9">
                  <c:v>71.442068553149198</c:v>
                </c:pt>
                <c:pt idx="10">
                  <c:v>69.865493475437304</c:v>
                </c:pt>
                <c:pt idx="11">
                  <c:v>67.906409179490595</c:v>
                </c:pt>
              </c:numCache>
            </c:numRef>
          </c:val>
          <c:smooth val="0"/>
          <c:extLst>
            <c:ext xmlns:c16="http://schemas.microsoft.com/office/drawing/2014/chart" uri="{C3380CC4-5D6E-409C-BE32-E72D297353CC}">
              <c16:uniqueId val="{00000001-7802-4996-929C-4DB10419B4FB}"/>
            </c:ext>
          </c:extLst>
        </c:ser>
        <c:dLbls>
          <c:showLegendKey val="0"/>
          <c:showVal val="0"/>
          <c:showCatName val="0"/>
          <c:showSerName val="0"/>
          <c:showPercent val="0"/>
          <c:showBubbleSize val="0"/>
        </c:dLbls>
        <c:marker val="1"/>
        <c:smooth val="0"/>
        <c:axId val="531223496"/>
        <c:axId val="577736728"/>
      </c:lineChart>
      <c:catAx>
        <c:axId val="577732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730496"/>
        <c:crosses val="autoZero"/>
        <c:auto val="1"/>
        <c:lblAlgn val="ctr"/>
        <c:lblOffset val="100"/>
        <c:noMultiLvlLbl val="0"/>
      </c:catAx>
      <c:valAx>
        <c:axId val="577730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Precip (in)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732136"/>
        <c:crosses val="autoZero"/>
        <c:crossBetween val="between"/>
      </c:valAx>
      <c:valAx>
        <c:axId val="57773672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223496"/>
        <c:crosses val="max"/>
        <c:crossBetween val="between"/>
        <c:majorUnit val="2"/>
      </c:valAx>
      <c:catAx>
        <c:axId val="531223496"/>
        <c:scaling>
          <c:orientation val="minMax"/>
        </c:scaling>
        <c:delete val="1"/>
        <c:axPos val="b"/>
        <c:majorTickMark val="out"/>
        <c:minorTickMark val="none"/>
        <c:tickLblPos val="nextTo"/>
        <c:crossAx val="577736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0318292633007"/>
          <c:y val="0.16975978002749653"/>
          <c:w val="0.83097008207437051"/>
          <c:h val="0.67656842894638169"/>
        </c:manualLayout>
      </c:layout>
      <c:lineChart>
        <c:grouping val="standard"/>
        <c:varyColors val="0"/>
        <c:ser>
          <c:idx val="0"/>
          <c:order val="0"/>
          <c:tx>
            <c:v>Forage Growth (Lbs)</c:v>
          </c:tx>
          <c:spPr>
            <a:ln>
              <a:solidFill>
                <a:schemeClr val="accent3"/>
              </a:solidFill>
            </a:ln>
          </c:spPr>
          <c:marker>
            <c:symbol val="circle"/>
            <c:size val="10"/>
            <c:spPr>
              <a:solidFill>
                <a:schemeClr val="accent3"/>
              </a:solidFill>
              <a:ln>
                <a:solidFill>
                  <a:schemeClr val="accent3"/>
                </a:solidFill>
              </a:ln>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'Step 3. FA Balance'!$N$229:$Y$229</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F331-4231-A38E-155F990954A5}"/>
            </c:ext>
          </c:extLst>
        </c:ser>
        <c:ser>
          <c:idx val="1"/>
          <c:order val="1"/>
          <c:tx>
            <c:v>Forage Demand (Lbs)</c:v>
          </c:tx>
          <c:marker>
            <c:symbol val="square"/>
            <c:size val="8"/>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'Step 3. FA Balance'!$N$230:$Y$230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F331-4231-A38E-155F990954A5}"/>
            </c:ext>
          </c:extLst>
        </c:ser>
        <c:ser>
          <c:idx val="2"/>
          <c:order val="2"/>
          <c:tx>
            <c:v>Accumulated Balance (Lbs)</c:v>
          </c:tx>
          <c:spPr>
            <a:ln>
              <a:solidFill>
                <a:srgbClr val="0070C0"/>
              </a:solidFill>
            </a:ln>
          </c:spPr>
          <c:marker>
            <c:symbol val="triangle"/>
            <c:size val="10"/>
            <c:spPr>
              <a:solidFill>
                <a:srgbClr val="0070C0"/>
              </a:solidFill>
              <a:ln>
                <a:solidFill>
                  <a:srgbClr val="0070C0"/>
                </a:solidFill>
              </a:ln>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'Step 3. FA Balance'!$N$232:$Y$232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F331-4231-A38E-155F990954A5}"/>
            </c:ext>
          </c:extLst>
        </c:ser>
        <c:dLbls>
          <c:showLegendKey val="0"/>
          <c:showVal val="0"/>
          <c:showCatName val="0"/>
          <c:showSerName val="0"/>
          <c:showPercent val="0"/>
          <c:showBubbleSize val="0"/>
        </c:dLbls>
        <c:marker val="1"/>
        <c:smooth val="0"/>
        <c:axId val="287754056"/>
        <c:axId val="210483576"/>
      </c:lineChart>
      <c:catAx>
        <c:axId val="287754056"/>
        <c:scaling>
          <c:orientation val="minMax"/>
        </c:scaling>
        <c:delete val="0"/>
        <c:axPos val="b"/>
        <c:numFmt formatCode="General" sourceLinked="0"/>
        <c:majorTickMark val="out"/>
        <c:minorTickMark val="none"/>
        <c:tickLblPos val="nextTo"/>
        <c:spPr>
          <a:ln w="38100">
            <a:solidFill>
              <a:schemeClr val="tx1"/>
            </a:solidFill>
          </a:ln>
        </c:spPr>
        <c:txPr>
          <a:bodyPr/>
          <a:lstStyle/>
          <a:p>
            <a:pPr>
              <a:defRPr sz="800">
                <a:latin typeface="Arial" pitchFamily="34" charset="0"/>
                <a:cs typeface="Arial" pitchFamily="34" charset="0"/>
              </a:defRPr>
            </a:pPr>
            <a:endParaRPr lang="en-US"/>
          </a:p>
        </c:txPr>
        <c:crossAx val="210483576"/>
        <c:crosses val="autoZero"/>
        <c:auto val="1"/>
        <c:lblAlgn val="ctr"/>
        <c:lblOffset val="100"/>
        <c:noMultiLvlLbl val="0"/>
      </c:catAx>
      <c:valAx>
        <c:axId val="210483576"/>
        <c:scaling>
          <c:orientation val="minMax"/>
        </c:scaling>
        <c:delete val="0"/>
        <c:axPos val="l"/>
        <c:majorGridlines/>
        <c:numFmt formatCode="#,##0" sourceLinked="1"/>
        <c:majorTickMark val="out"/>
        <c:minorTickMark val="none"/>
        <c:tickLblPos val="nextTo"/>
        <c:txPr>
          <a:bodyPr/>
          <a:lstStyle/>
          <a:p>
            <a:pPr>
              <a:defRPr sz="800">
                <a:latin typeface="Arial" pitchFamily="34" charset="0"/>
                <a:cs typeface="Arial" pitchFamily="34" charset="0"/>
              </a:defRPr>
            </a:pPr>
            <a:endParaRPr lang="en-US"/>
          </a:p>
        </c:txPr>
        <c:crossAx val="287754056"/>
        <c:crosses val="autoZero"/>
        <c:crossBetween val="between"/>
      </c:valAx>
    </c:plotArea>
    <c:legend>
      <c:legendPos val="r"/>
      <c:layout>
        <c:manualLayout>
          <c:xMode val="edge"/>
          <c:yMode val="edge"/>
          <c:x val="0.14719995687010526"/>
          <c:y val="0.90895500220350667"/>
          <c:w val="0.76520922689541859"/>
          <c:h val="6.6010196233034182E-2"/>
        </c:manualLayout>
      </c:layout>
      <c:overlay val="0"/>
      <c:spPr>
        <a:ln>
          <a:solidFill>
            <a:schemeClr val="tx1"/>
          </a:solidFill>
        </a:ln>
      </c:spPr>
      <c:txPr>
        <a:bodyPr/>
        <a:lstStyle/>
        <a:p>
          <a:pPr>
            <a:defRPr sz="800">
              <a:latin typeface="Arial" pitchFamily="34" charset="0"/>
              <a:cs typeface="Arial" pitchFamily="34" charset="0"/>
            </a:defRPr>
          </a:pPr>
          <a:endParaRPr lang="en-US"/>
        </a:p>
      </c:txPr>
    </c:legend>
    <c:plotVisOnly val="1"/>
    <c:dispBlanksAs val="gap"/>
    <c:showDLblsOverMax val="0"/>
  </c:chart>
  <c:spPr>
    <a:ln w="25400">
      <a:solidFill>
        <a:schemeClr val="tx1"/>
      </a:solidFill>
    </a:ln>
  </c:spPr>
  <c:printSettings>
    <c:headerFooter/>
    <c:pageMargins b="0.75" l="0.7" r="0.7" t="0.5" header="0.3" footer="0.3"/>
    <c:pageSetup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766739710132773E-2"/>
          <c:y val="5.4749956076924483E-2"/>
          <c:w val="0.89302997578032439"/>
          <c:h val="0.80533292935026868"/>
        </c:manualLayout>
      </c:layout>
      <c:lineChart>
        <c:grouping val="standard"/>
        <c:varyColors val="0"/>
        <c:ser>
          <c:idx val="0"/>
          <c:order val="0"/>
          <c:marker>
            <c:symbol val="none"/>
          </c:marker>
          <c:val>
            <c:numRef>
              <c:f>PastureGrazingEfficiency!$C$9:$C$108</c:f>
              <c:numCache>
                <c:formatCode>General_)</c:formatCode>
                <c:ptCount val="100"/>
                <c:pt idx="0">
                  <c:v>25</c:v>
                </c:pt>
                <c:pt idx="1">
                  <c:v>28</c:v>
                </c:pt>
                <c:pt idx="2">
                  <c:v>32</c:v>
                </c:pt>
                <c:pt idx="3">
                  <c:v>35</c:v>
                </c:pt>
                <c:pt idx="4">
                  <c:v>38</c:v>
                </c:pt>
                <c:pt idx="5">
                  <c:v>41</c:v>
                </c:pt>
                <c:pt idx="6">
                  <c:v>43</c:v>
                </c:pt>
                <c:pt idx="7">
                  <c:v>50</c:v>
                </c:pt>
                <c:pt idx="8">
                  <c:v>51</c:v>
                </c:pt>
                <c:pt idx="9">
                  <c:v>55</c:v>
                </c:pt>
                <c:pt idx="10">
                  <c:v>60</c:v>
                </c:pt>
                <c:pt idx="11">
                  <c:v>63</c:v>
                </c:pt>
                <c:pt idx="12">
                  <c:v>65</c:v>
                </c:pt>
                <c:pt idx="13">
                  <c:v>65</c:v>
                </c:pt>
                <c:pt idx="14">
                  <c:v>66</c:v>
                </c:pt>
                <c:pt idx="15">
                  <c:v>66</c:v>
                </c:pt>
                <c:pt idx="16">
                  <c:v>66</c:v>
                </c:pt>
                <c:pt idx="17">
                  <c:v>67</c:v>
                </c:pt>
                <c:pt idx="18">
                  <c:v>67</c:v>
                </c:pt>
                <c:pt idx="19">
                  <c:v>67</c:v>
                </c:pt>
                <c:pt idx="20">
                  <c:v>68</c:v>
                </c:pt>
                <c:pt idx="21">
                  <c:v>68</c:v>
                </c:pt>
                <c:pt idx="22">
                  <c:v>68</c:v>
                </c:pt>
                <c:pt idx="23">
                  <c:v>68</c:v>
                </c:pt>
                <c:pt idx="24">
                  <c:v>68</c:v>
                </c:pt>
                <c:pt idx="25">
                  <c:v>69</c:v>
                </c:pt>
                <c:pt idx="26">
                  <c:v>69</c:v>
                </c:pt>
                <c:pt idx="27">
                  <c:v>69</c:v>
                </c:pt>
                <c:pt idx="28">
                  <c:v>69</c:v>
                </c:pt>
                <c:pt idx="29">
                  <c:v>69</c:v>
                </c:pt>
                <c:pt idx="30">
                  <c:v>69</c:v>
                </c:pt>
                <c:pt idx="31">
                  <c:v>69</c:v>
                </c:pt>
                <c:pt idx="32">
                  <c:v>69</c:v>
                </c:pt>
                <c:pt idx="33">
                  <c:v>69</c:v>
                </c:pt>
                <c:pt idx="34">
                  <c:v>69</c:v>
                </c:pt>
                <c:pt idx="35">
                  <c:v>69</c:v>
                </c:pt>
                <c:pt idx="36">
                  <c:v>69</c:v>
                </c:pt>
                <c:pt idx="37">
                  <c:v>69</c:v>
                </c:pt>
                <c:pt idx="38">
                  <c:v>69</c:v>
                </c:pt>
                <c:pt idx="39">
                  <c:v>69</c:v>
                </c:pt>
                <c:pt idx="40">
                  <c:v>69</c:v>
                </c:pt>
                <c:pt idx="41">
                  <c:v>69</c:v>
                </c:pt>
                <c:pt idx="42">
                  <c:v>69</c:v>
                </c:pt>
                <c:pt idx="43">
                  <c:v>69</c:v>
                </c:pt>
                <c:pt idx="44">
                  <c:v>69</c:v>
                </c:pt>
                <c:pt idx="45">
                  <c:v>69</c:v>
                </c:pt>
                <c:pt idx="46">
                  <c:v>69</c:v>
                </c:pt>
                <c:pt idx="47">
                  <c:v>69</c:v>
                </c:pt>
                <c:pt idx="48">
                  <c:v>69</c:v>
                </c:pt>
                <c:pt idx="49">
                  <c:v>69</c:v>
                </c:pt>
                <c:pt idx="50">
                  <c:v>69</c:v>
                </c:pt>
                <c:pt idx="51">
                  <c:v>69</c:v>
                </c:pt>
                <c:pt idx="52">
                  <c:v>69</c:v>
                </c:pt>
                <c:pt idx="53">
                  <c:v>69</c:v>
                </c:pt>
                <c:pt idx="54">
                  <c:v>69</c:v>
                </c:pt>
                <c:pt idx="55">
                  <c:v>69</c:v>
                </c:pt>
                <c:pt idx="56">
                  <c:v>69</c:v>
                </c:pt>
                <c:pt idx="57">
                  <c:v>69</c:v>
                </c:pt>
                <c:pt idx="58">
                  <c:v>69</c:v>
                </c:pt>
                <c:pt idx="59">
                  <c:v>69</c:v>
                </c:pt>
                <c:pt idx="60">
                  <c:v>69</c:v>
                </c:pt>
                <c:pt idx="61">
                  <c:v>69</c:v>
                </c:pt>
                <c:pt idx="62">
                  <c:v>69</c:v>
                </c:pt>
                <c:pt idx="63">
                  <c:v>69</c:v>
                </c:pt>
                <c:pt idx="64">
                  <c:v>69</c:v>
                </c:pt>
                <c:pt idx="65">
                  <c:v>69</c:v>
                </c:pt>
                <c:pt idx="66">
                  <c:v>69</c:v>
                </c:pt>
                <c:pt idx="67">
                  <c:v>69</c:v>
                </c:pt>
                <c:pt idx="68">
                  <c:v>69</c:v>
                </c:pt>
                <c:pt idx="69">
                  <c:v>69</c:v>
                </c:pt>
                <c:pt idx="70">
                  <c:v>69</c:v>
                </c:pt>
                <c:pt idx="71">
                  <c:v>69</c:v>
                </c:pt>
                <c:pt idx="72">
                  <c:v>69</c:v>
                </c:pt>
                <c:pt idx="73">
                  <c:v>69</c:v>
                </c:pt>
                <c:pt idx="74">
                  <c:v>69</c:v>
                </c:pt>
                <c:pt idx="75">
                  <c:v>69</c:v>
                </c:pt>
                <c:pt idx="76">
                  <c:v>69</c:v>
                </c:pt>
                <c:pt idx="77">
                  <c:v>69</c:v>
                </c:pt>
                <c:pt idx="78">
                  <c:v>69</c:v>
                </c:pt>
                <c:pt idx="79">
                  <c:v>69</c:v>
                </c:pt>
                <c:pt idx="80">
                  <c:v>69</c:v>
                </c:pt>
                <c:pt idx="81">
                  <c:v>69</c:v>
                </c:pt>
                <c:pt idx="82">
                  <c:v>69</c:v>
                </c:pt>
                <c:pt idx="83">
                  <c:v>69</c:v>
                </c:pt>
                <c:pt idx="84">
                  <c:v>69</c:v>
                </c:pt>
                <c:pt idx="85">
                  <c:v>69</c:v>
                </c:pt>
                <c:pt idx="86">
                  <c:v>69</c:v>
                </c:pt>
                <c:pt idx="87">
                  <c:v>69</c:v>
                </c:pt>
                <c:pt idx="88">
                  <c:v>69</c:v>
                </c:pt>
                <c:pt idx="89">
                  <c:v>69</c:v>
                </c:pt>
                <c:pt idx="90">
                  <c:v>69</c:v>
                </c:pt>
                <c:pt idx="91">
                  <c:v>69</c:v>
                </c:pt>
                <c:pt idx="92">
                  <c:v>69</c:v>
                </c:pt>
                <c:pt idx="93">
                  <c:v>69</c:v>
                </c:pt>
                <c:pt idx="94">
                  <c:v>69</c:v>
                </c:pt>
                <c:pt idx="95">
                  <c:v>69</c:v>
                </c:pt>
                <c:pt idx="96">
                  <c:v>69</c:v>
                </c:pt>
                <c:pt idx="97">
                  <c:v>69</c:v>
                </c:pt>
                <c:pt idx="98">
                  <c:v>69</c:v>
                </c:pt>
                <c:pt idx="99">
                  <c:v>69</c:v>
                </c:pt>
              </c:numCache>
            </c:numRef>
          </c:val>
          <c:smooth val="0"/>
          <c:extLst>
            <c:ext xmlns:c16="http://schemas.microsoft.com/office/drawing/2014/chart" uri="{C3380CC4-5D6E-409C-BE32-E72D297353CC}">
              <c16:uniqueId val="{00000000-A401-4E4A-889E-095E9C238014}"/>
            </c:ext>
          </c:extLst>
        </c:ser>
        <c:dLbls>
          <c:showLegendKey val="0"/>
          <c:showVal val="0"/>
          <c:showCatName val="0"/>
          <c:showSerName val="0"/>
          <c:showPercent val="0"/>
          <c:showBubbleSize val="0"/>
        </c:dLbls>
        <c:hiLowLines/>
        <c:smooth val="0"/>
        <c:axId val="316093792"/>
        <c:axId val="316094184"/>
      </c:lineChart>
      <c:catAx>
        <c:axId val="316093792"/>
        <c:scaling>
          <c:orientation val="minMax"/>
        </c:scaling>
        <c:delete val="0"/>
        <c:axPos val="b"/>
        <c:title>
          <c:tx>
            <c:rich>
              <a:bodyPr/>
              <a:lstStyle/>
              <a:p>
                <a:pPr>
                  <a:defRPr sz="1100">
                    <a:latin typeface="Arial" pitchFamily="34" charset="0"/>
                    <a:cs typeface="Arial" pitchFamily="34" charset="0"/>
                  </a:defRPr>
                </a:pPr>
                <a:r>
                  <a:rPr lang="en-US" sz="1100">
                    <a:latin typeface="Arial" pitchFamily="34" charset="0"/>
                    <a:cs typeface="Arial" pitchFamily="34" charset="0"/>
                  </a:rPr>
                  <a:t>Paddock</a:t>
                </a:r>
                <a:r>
                  <a:rPr lang="en-US" sz="1100" baseline="0">
                    <a:latin typeface="Arial" pitchFamily="34" charset="0"/>
                    <a:cs typeface="Arial" pitchFamily="34" charset="0"/>
                  </a:rPr>
                  <a:t> Equivalency Value</a:t>
                </a:r>
                <a:endParaRPr lang="en-US" sz="1100">
                  <a:latin typeface="Arial" pitchFamily="34" charset="0"/>
                  <a:cs typeface="Arial" pitchFamily="34" charset="0"/>
                </a:endParaRPr>
              </a:p>
            </c:rich>
          </c:tx>
          <c:overlay val="0"/>
        </c:title>
        <c:majorTickMark val="none"/>
        <c:minorTickMark val="none"/>
        <c:tickLblPos val="nextTo"/>
        <c:crossAx val="316094184"/>
        <c:crosses val="autoZero"/>
        <c:auto val="1"/>
        <c:lblAlgn val="ctr"/>
        <c:lblOffset val="100"/>
        <c:noMultiLvlLbl val="0"/>
      </c:catAx>
      <c:valAx>
        <c:axId val="316094184"/>
        <c:scaling>
          <c:orientation val="minMax"/>
        </c:scaling>
        <c:delete val="0"/>
        <c:axPos val="l"/>
        <c:majorGridlines/>
        <c:title>
          <c:tx>
            <c:rich>
              <a:bodyPr/>
              <a:lstStyle/>
              <a:p>
                <a:pPr>
                  <a:defRPr sz="1050">
                    <a:latin typeface="Arial" pitchFamily="34" charset="0"/>
                    <a:cs typeface="Arial" pitchFamily="34" charset="0"/>
                  </a:defRPr>
                </a:pPr>
                <a:r>
                  <a:rPr lang="en-US" sz="1050">
                    <a:latin typeface="Arial" pitchFamily="34" charset="0"/>
                    <a:cs typeface="Arial" pitchFamily="34" charset="0"/>
                  </a:rPr>
                  <a:t>Grazing Efficiency (%)</a:t>
                </a:r>
              </a:p>
            </c:rich>
          </c:tx>
          <c:overlay val="0"/>
        </c:title>
        <c:numFmt formatCode="General_)" sourceLinked="1"/>
        <c:majorTickMark val="out"/>
        <c:minorTickMark val="none"/>
        <c:tickLblPos val="nextTo"/>
        <c:crossAx val="316093792"/>
        <c:crosses val="autoZero"/>
        <c:crossBetween val="between"/>
      </c:valAx>
    </c:plotArea>
    <c:plotVisOnly val="1"/>
    <c:dispBlanksAs val="gap"/>
    <c:showDLblsOverMax val="0"/>
  </c:chart>
  <c:spPr>
    <a:ln w="25400">
      <a:solidFill>
        <a:schemeClr val="tx1"/>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12.emf"/><Relationship Id="rId3" Type="http://schemas.openxmlformats.org/officeDocument/2006/relationships/image" Target="../media/image2.emf"/><Relationship Id="rId7" Type="http://schemas.openxmlformats.org/officeDocument/2006/relationships/image" Target="../media/image6.emf"/><Relationship Id="rId12" Type="http://schemas.openxmlformats.org/officeDocument/2006/relationships/image" Target="../media/image11.emf"/><Relationship Id="rId17" Type="http://schemas.openxmlformats.org/officeDocument/2006/relationships/image" Target="../media/image16.emf"/><Relationship Id="rId2" Type="http://schemas.openxmlformats.org/officeDocument/2006/relationships/chart" Target="../charts/chart4.xml"/><Relationship Id="rId16" Type="http://schemas.openxmlformats.org/officeDocument/2006/relationships/image" Target="../media/image15.emf"/><Relationship Id="rId1" Type="http://schemas.openxmlformats.org/officeDocument/2006/relationships/chart" Target="../charts/chart3.xml"/><Relationship Id="rId6" Type="http://schemas.openxmlformats.org/officeDocument/2006/relationships/image" Target="../media/image5.emf"/><Relationship Id="rId11" Type="http://schemas.openxmlformats.org/officeDocument/2006/relationships/image" Target="../media/image10.emf"/><Relationship Id="rId5" Type="http://schemas.openxmlformats.org/officeDocument/2006/relationships/image" Target="../media/image4.emf"/><Relationship Id="rId15" Type="http://schemas.openxmlformats.org/officeDocument/2006/relationships/image" Target="../media/image14.emf"/><Relationship Id="rId10" Type="http://schemas.openxmlformats.org/officeDocument/2006/relationships/image" Target="../media/image9.emf"/><Relationship Id="rId4" Type="http://schemas.openxmlformats.org/officeDocument/2006/relationships/image" Target="../media/image3.emf"/><Relationship Id="rId9" Type="http://schemas.openxmlformats.org/officeDocument/2006/relationships/image" Target="../media/image8.emf"/><Relationship Id="rId14" Type="http://schemas.openxmlformats.org/officeDocument/2006/relationships/image" Target="../media/image13.emf"/></Relationships>
</file>

<file path=xl/drawings/_rels/drawing7.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6.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4</xdr:row>
          <xdr:rowOff>25400</xdr:rowOff>
        </xdr:from>
        <xdr:to>
          <xdr:col>2</xdr:col>
          <xdr:colOff>660400</xdr:colOff>
          <xdr:row>5</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5</xdr:row>
          <xdr:rowOff>25400</xdr:rowOff>
        </xdr:from>
        <xdr:to>
          <xdr:col>2</xdr:col>
          <xdr:colOff>673100</xdr:colOff>
          <xdr:row>6</xdr:row>
          <xdr:rowOff>12700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6</xdr:row>
          <xdr:rowOff>38100</xdr:rowOff>
        </xdr:from>
        <xdr:to>
          <xdr:col>2</xdr:col>
          <xdr:colOff>711200</xdr:colOff>
          <xdr:row>7</xdr:row>
          <xdr:rowOff>25400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xdr:row>
          <xdr:rowOff>38100</xdr:rowOff>
        </xdr:from>
        <xdr:to>
          <xdr:col>2</xdr:col>
          <xdr:colOff>660400</xdr:colOff>
          <xdr:row>8</xdr:row>
          <xdr:rowOff>25400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xdr:row>
          <xdr:rowOff>38100</xdr:rowOff>
        </xdr:from>
        <xdr:to>
          <xdr:col>2</xdr:col>
          <xdr:colOff>698500</xdr:colOff>
          <xdr:row>9</xdr:row>
          <xdr:rowOff>25400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9</xdr:row>
          <xdr:rowOff>25400</xdr:rowOff>
        </xdr:from>
        <xdr:to>
          <xdr:col>2</xdr:col>
          <xdr:colOff>673100</xdr:colOff>
          <xdr:row>10</xdr:row>
          <xdr:rowOff>25400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66675</xdr:colOff>
      <xdr:row>11</xdr:row>
      <xdr:rowOff>66675</xdr:rowOff>
    </xdr:from>
    <xdr:to>
      <xdr:col>5</xdr:col>
      <xdr:colOff>304800</xdr:colOff>
      <xdr:row>12</xdr:row>
      <xdr:rowOff>114300</xdr:rowOff>
    </xdr:to>
    <xdr:sp macro="[0]!FieldWorksheet_TextBox5_Click" textlink="">
      <xdr:nvSpPr>
        <xdr:cNvPr id="6" name="TextBox 5">
          <a:extLst>
            <a:ext uri="{FF2B5EF4-FFF2-40B4-BE49-F238E27FC236}">
              <a16:creationId xmlns:a16="http://schemas.microsoft.com/office/drawing/2014/main" id="{00000000-0008-0000-0000-000006000000}"/>
            </a:ext>
          </a:extLst>
        </xdr:cNvPr>
        <xdr:cNvSpPr txBox="1"/>
      </xdr:nvSpPr>
      <xdr:spPr>
        <a:xfrm>
          <a:off x="3162300" y="2771775"/>
          <a:ext cx="1552575" cy="2762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Print</a:t>
          </a:r>
          <a:r>
            <a:rPr lang="en-US" sz="1100" baseline="0">
              <a:latin typeface="Arial" pitchFamily="34" charset="0"/>
              <a:cs typeface="Arial" pitchFamily="34" charset="0"/>
            </a:rPr>
            <a:t> Field Worksheet</a:t>
          </a:r>
          <a:endParaRPr lang="en-US" sz="11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520700</xdr:colOff>
          <xdr:row>2</xdr:row>
          <xdr:rowOff>673100</xdr:rowOff>
        </xdr:from>
        <xdr:to>
          <xdr:col>14</xdr:col>
          <xdr:colOff>647700</xdr:colOff>
          <xdr:row>6</xdr:row>
          <xdr:rowOff>177800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2</xdr:row>
          <xdr:rowOff>673100</xdr:rowOff>
        </xdr:from>
        <xdr:to>
          <xdr:col>12</xdr:col>
          <xdr:colOff>342900</xdr:colOff>
          <xdr:row>6</xdr:row>
          <xdr:rowOff>177800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000-0000082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twoCellAnchor>
    <xdr:from>
      <xdr:col>10</xdr:col>
      <xdr:colOff>142875</xdr:colOff>
      <xdr:row>1</xdr:row>
      <xdr:rowOff>152400</xdr:rowOff>
    </xdr:from>
    <xdr:to>
      <xdr:col>14</xdr:col>
      <xdr:colOff>647700</xdr:colOff>
      <xdr:row>2</xdr:row>
      <xdr:rowOff>676275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8496300" y="304800"/>
          <a:ext cx="3400425" cy="685800"/>
        </a:xfrm>
        <a:prstGeom prst="rect">
          <a:avLst/>
        </a:prstGeom>
        <a:solidFill>
          <a:schemeClr val="tx2">
            <a:lumMod val="20000"/>
            <a:lumOff val="8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CTAHR</a:t>
          </a:r>
          <a:r>
            <a:rPr lang="en-US" sz="1200" baseline="0">
              <a:latin typeface="Arial" panose="020B0604020202020204" pitchFamily="34" charset="0"/>
              <a:cs typeface="Arial" panose="020B0604020202020204" pitchFamily="34" charset="0"/>
            </a:rPr>
            <a:t> Grazing publications which should be </a:t>
          </a:r>
          <a:r>
            <a:rPr lang="en-US" sz="1200" baseline="0">
              <a:solidFill>
                <a:schemeClr val="dk1"/>
              </a:solidFill>
              <a:latin typeface="Arial" panose="020B0604020202020204" pitchFamily="34" charset="0"/>
              <a:ea typeface="+mn-ea"/>
              <a:cs typeface="Arial" panose="020B0604020202020204" pitchFamily="34" charset="0"/>
            </a:rPr>
            <a:t>shared</a:t>
          </a:r>
          <a:r>
            <a:rPr lang="en-US" sz="1400" baseline="0">
              <a:latin typeface="Arial" panose="020B0604020202020204" pitchFamily="34" charset="0"/>
              <a:cs typeface="Arial" panose="020B0604020202020204" pitchFamily="34" charset="0"/>
            </a:rPr>
            <a:t> </a:t>
          </a:r>
          <a:r>
            <a:rPr lang="en-US" sz="1200" baseline="0">
              <a:latin typeface="Arial" panose="020B0604020202020204" pitchFamily="34" charset="0"/>
              <a:cs typeface="Arial" panose="020B0604020202020204" pitchFamily="34" charset="0"/>
            </a:rPr>
            <a:t>with producers interested in proper grazing management</a:t>
          </a:r>
          <a:r>
            <a:rPr lang="en-US" sz="1100" baseline="0"/>
            <a:t>.</a:t>
          </a:r>
          <a:endParaRPr lang="en-US" sz="1100"/>
        </a:p>
      </xdr:txBody>
    </xdr:sp>
    <xdr:clientData/>
  </xdr:twoCellAnchor>
  <xdr:twoCellAnchor>
    <xdr:from>
      <xdr:col>10</xdr:col>
      <xdr:colOff>143782</xdr:colOff>
      <xdr:row>6</xdr:row>
      <xdr:rowOff>200025</xdr:rowOff>
    </xdr:from>
    <xdr:to>
      <xdr:col>12</xdr:col>
      <xdr:colOff>342900</xdr:colOff>
      <xdr:row>8</xdr:row>
      <xdr:rowOff>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8497207" y="1914525"/>
          <a:ext cx="1570718" cy="257175"/>
        </a:xfrm>
        <a:prstGeom prst="rect">
          <a:avLst/>
        </a:prstGeom>
        <a:solidFill>
          <a:schemeClr val="tx2">
            <a:lumMod val="20000"/>
            <a:lumOff val="8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atin typeface="Arial" panose="020B0604020202020204" pitchFamily="34" charset="0"/>
              <a:cs typeface="Arial" panose="020B0604020202020204" pitchFamily="34" charset="0"/>
            </a:rPr>
            <a:t>Grazing Management</a:t>
          </a:r>
        </a:p>
      </xdr:txBody>
    </xdr:sp>
    <xdr:clientData/>
  </xdr:twoCellAnchor>
  <xdr:twoCellAnchor>
    <xdr:from>
      <xdr:col>12</xdr:col>
      <xdr:colOff>514350</xdr:colOff>
      <xdr:row>6</xdr:row>
      <xdr:rowOff>200025</xdr:rowOff>
    </xdr:from>
    <xdr:to>
      <xdr:col>14</xdr:col>
      <xdr:colOff>647700</xdr:colOff>
      <xdr:row>8</xdr:row>
      <xdr:rowOff>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0239375" y="1914525"/>
          <a:ext cx="1657350" cy="257175"/>
        </a:xfrm>
        <a:prstGeom prst="rect">
          <a:avLst/>
        </a:prstGeom>
        <a:solidFill>
          <a:schemeClr val="tx2">
            <a:lumMod val="20000"/>
            <a:lumOff val="8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latin typeface="Arial" panose="020B0604020202020204" pitchFamily="34" charset="0"/>
              <a:cs typeface="Arial" panose="020B0604020202020204" pitchFamily="34" charset="0"/>
            </a:rPr>
            <a:t>Stocking Rate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47626</xdr:colOff>
      <xdr:row>28</xdr:row>
      <xdr:rowOff>254000</xdr:rowOff>
    </xdr:from>
    <xdr:to>
      <xdr:col>17</xdr:col>
      <xdr:colOff>0</xdr:colOff>
      <xdr:row>48</xdr:row>
      <xdr:rowOff>142874</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678656</xdr:colOff>
      <xdr:row>13</xdr:row>
      <xdr:rowOff>0</xdr:rowOff>
    </xdr:from>
    <xdr:to>
      <xdr:col>19</xdr:col>
      <xdr:colOff>0</xdr:colOff>
      <xdr:row>41</xdr:row>
      <xdr:rowOff>7294</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406400</xdr:colOff>
      <xdr:row>26</xdr:row>
      <xdr:rowOff>63500</xdr:rowOff>
    </xdr:from>
    <xdr:to>
      <xdr:col>47</xdr:col>
      <xdr:colOff>520700</xdr:colOff>
      <xdr:row>38</xdr:row>
      <xdr:rowOff>88900</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9298900" y="5016500"/>
          <a:ext cx="3543300" cy="2311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VLOOKUP island</a:t>
          </a:r>
        </a:p>
        <a:p>
          <a:r>
            <a:rPr lang="en-US" sz="1600"/>
            <a:t>Forage</a:t>
          </a:r>
          <a:r>
            <a:rPr lang="en-US" sz="1600" baseline="0"/>
            <a:t> Production conversion factor *</a:t>
          </a:r>
        </a:p>
        <a:p>
          <a:r>
            <a:rPr lang="en-US" sz="1600"/>
            <a:t>rainfall</a:t>
          </a:r>
          <a:r>
            <a:rPr lang="en-US" sz="1600" baseline="0"/>
            <a:t> (in)</a:t>
          </a:r>
        </a:p>
        <a:p>
          <a:endParaRPr lang="en-US" sz="1600" baseline="0"/>
        </a:p>
        <a:p>
          <a:r>
            <a:rPr lang="en-US" sz="1600" baseline="0"/>
            <a:t>Oven dried and air dry values</a:t>
          </a:r>
        </a:p>
        <a:p>
          <a:r>
            <a:rPr lang="en-US" sz="1600" baseline="0"/>
            <a:t>Currently using forage air-dry for graph</a:t>
          </a:r>
        </a:p>
      </xdr:txBody>
    </xdr:sp>
    <xdr:clientData/>
  </xdr:twoCellAnchor>
  <xdr:twoCellAnchor>
    <xdr:from>
      <xdr:col>38</xdr:col>
      <xdr:colOff>139700</xdr:colOff>
      <xdr:row>119</xdr:row>
      <xdr:rowOff>101600</xdr:rowOff>
    </xdr:from>
    <xdr:to>
      <xdr:col>43</xdr:col>
      <xdr:colOff>215900</xdr:colOff>
      <xdr:row>131</xdr:row>
      <xdr:rowOff>127000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26250900" y="22771100"/>
          <a:ext cx="3543300" cy="2311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158750</xdr:colOff>
      <xdr:row>278</xdr:row>
      <xdr:rowOff>183091</xdr:rowOff>
    </xdr:from>
    <xdr:to>
      <xdr:col>13</xdr:col>
      <xdr:colOff>501650</xdr:colOff>
      <xdr:row>310</xdr:row>
      <xdr:rowOff>17991</xdr:rowOff>
    </xdr:to>
    <xdr:graphicFrame macro="">
      <xdr:nvGraphicFramePr>
        <xdr:cNvPr id="78" name="Chart 77">
          <a:extLst>
            <a:ext uri="{FF2B5EF4-FFF2-40B4-BE49-F238E27FC236}">
              <a16:creationId xmlns:a16="http://schemas.microsoft.com/office/drawing/2014/main" id="{00000000-0008-0000-0500-00004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54</xdr:col>
      <xdr:colOff>520700</xdr:colOff>
      <xdr:row>0</xdr:row>
      <xdr:rowOff>254000</xdr:rowOff>
    </xdr:from>
    <xdr:to>
      <xdr:col>59</xdr:col>
      <xdr:colOff>317500</xdr:colOff>
      <xdr:row>0</xdr:row>
      <xdr:rowOff>482600</xdr:rowOff>
    </xdr:to>
    <xdr:sp macro="" textlink="">
      <xdr:nvSpPr>
        <xdr:cNvPr id="1267" name="Forage2" hidden="1">
          <a:extLst>
            <a:ext uri="{63B3BB69-23CF-44E3-9099-C40C66FF867C}">
              <a14:compatExt xmlns:a14="http://schemas.microsoft.com/office/drawing/2010/main" spid="_x0000_s1267"/>
            </a:ext>
            <a:ext uri="{FF2B5EF4-FFF2-40B4-BE49-F238E27FC236}">
              <a16:creationId xmlns:a16="http://schemas.microsoft.com/office/drawing/2014/main" id="{00000000-0008-0000-0500-0000F3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127000</xdr:colOff>
      <xdr:row>5</xdr:row>
      <xdr:rowOff>25400</xdr:rowOff>
    </xdr:from>
    <xdr:to>
      <xdr:col>12</xdr:col>
      <xdr:colOff>215900</xdr:colOff>
      <xdr:row>7</xdr:row>
      <xdr:rowOff>12700</xdr:rowOff>
    </xdr:to>
    <xdr:sp macro="" textlink="">
      <xdr:nvSpPr>
        <xdr:cNvPr id="1236" name="CheckBox1" hidden="1">
          <a:extLst>
            <a:ext uri="{63B3BB69-23CF-44E3-9099-C40C66FF867C}">
              <a14:compatExt xmlns:a14="http://schemas.microsoft.com/office/drawing/2010/main" spid="_x0000_s1236"/>
            </a:ext>
            <a:ext uri="{FF2B5EF4-FFF2-40B4-BE49-F238E27FC236}">
              <a16:creationId xmlns:a16="http://schemas.microsoft.com/office/drawing/2014/main" id="{00000000-0008-0000-0500-0000D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114300</xdr:colOff>
      <xdr:row>6</xdr:row>
      <xdr:rowOff>152400</xdr:rowOff>
    </xdr:from>
    <xdr:to>
      <xdr:col>11</xdr:col>
      <xdr:colOff>508000</xdr:colOff>
      <xdr:row>8</xdr:row>
      <xdr:rowOff>50800</xdr:rowOff>
    </xdr:to>
    <xdr:sp macro="" textlink="">
      <xdr:nvSpPr>
        <xdr:cNvPr id="1237" name="CheckBox2" hidden="1">
          <a:extLst>
            <a:ext uri="{63B3BB69-23CF-44E3-9099-C40C66FF867C}">
              <a14:compatExt xmlns:a14="http://schemas.microsoft.com/office/drawing/2010/main" spid="_x0000_s1237"/>
            </a:ext>
            <a:ext uri="{FF2B5EF4-FFF2-40B4-BE49-F238E27FC236}">
              <a16:creationId xmlns:a16="http://schemas.microsoft.com/office/drawing/2014/main" id="{00000000-0008-0000-0500-0000D5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114300</xdr:colOff>
      <xdr:row>8</xdr:row>
      <xdr:rowOff>101600</xdr:rowOff>
    </xdr:from>
    <xdr:to>
      <xdr:col>11</xdr:col>
      <xdr:colOff>469900</xdr:colOff>
      <xdr:row>10</xdr:row>
      <xdr:rowOff>12700</xdr:rowOff>
    </xdr:to>
    <xdr:sp macro="" textlink="">
      <xdr:nvSpPr>
        <xdr:cNvPr id="1238" name="CheckBox3" hidden="1">
          <a:extLst>
            <a:ext uri="{63B3BB69-23CF-44E3-9099-C40C66FF867C}">
              <a14:compatExt xmlns:a14="http://schemas.microsoft.com/office/drawing/2010/main" spid="_x0000_s1238"/>
            </a:ext>
            <a:ext uri="{FF2B5EF4-FFF2-40B4-BE49-F238E27FC236}">
              <a16:creationId xmlns:a16="http://schemas.microsoft.com/office/drawing/2014/main" id="{00000000-0008-0000-0500-0000D6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11</xdr:col>
      <xdr:colOff>508000</xdr:colOff>
      <xdr:row>5</xdr:row>
      <xdr:rowOff>101600</xdr:rowOff>
    </xdr:from>
    <xdr:to>
      <xdr:col>13</xdr:col>
      <xdr:colOff>139700</xdr:colOff>
      <xdr:row>6</xdr:row>
      <xdr:rowOff>177800</xdr:rowOff>
    </xdr:to>
    <xdr:sp macro="" textlink="">
      <xdr:nvSpPr>
        <xdr:cNvPr id="1239" name="CheckBox4" hidden="1">
          <a:extLst>
            <a:ext uri="{63B3BB69-23CF-44E3-9099-C40C66FF867C}">
              <a14:compatExt xmlns:a14="http://schemas.microsoft.com/office/drawing/2010/main" spid="_x0000_s1239"/>
            </a:ext>
            <a:ext uri="{FF2B5EF4-FFF2-40B4-BE49-F238E27FC236}">
              <a16:creationId xmlns:a16="http://schemas.microsoft.com/office/drawing/2014/main" id="{00000000-0008-0000-0500-0000D7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11</xdr:col>
      <xdr:colOff>482600</xdr:colOff>
      <xdr:row>6</xdr:row>
      <xdr:rowOff>177800</xdr:rowOff>
    </xdr:from>
    <xdr:to>
      <xdr:col>13</xdr:col>
      <xdr:colOff>127000</xdr:colOff>
      <xdr:row>8</xdr:row>
      <xdr:rowOff>88900</xdr:rowOff>
    </xdr:to>
    <xdr:sp macro="" textlink="">
      <xdr:nvSpPr>
        <xdr:cNvPr id="1240" name="CheckBox5" hidden="1">
          <a:extLst>
            <a:ext uri="{63B3BB69-23CF-44E3-9099-C40C66FF867C}">
              <a14:compatExt xmlns:a14="http://schemas.microsoft.com/office/drawing/2010/main" spid="_x0000_s1240"/>
            </a:ext>
            <a:ext uri="{FF2B5EF4-FFF2-40B4-BE49-F238E27FC236}">
              <a16:creationId xmlns:a16="http://schemas.microsoft.com/office/drawing/2014/main" id="{00000000-0008-0000-0500-0000D8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203200</xdr:colOff>
      <xdr:row>5</xdr:row>
      <xdr:rowOff>101600</xdr:rowOff>
    </xdr:from>
    <xdr:to>
      <xdr:col>15</xdr:col>
      <xdr:colOff>811892</xdr:colOff>
      <xdr:row>7</xdr:row>
      <xdr:rowOff>25400</xdr:rowOff>
    </xdr:to>
    <xdr:sp macro="" textlink="">
      <xdr:nvSpPr>
        <xdr:cNvPr id="1241" name="CheckBox6" hidden="1">
          <a:extLst>
            <a:ext uri="{63B3BB69-23CF-44E3-9099-C40C66FF867C}">
              <a14:compatExt xmlns:a14="http://schemas.microsoft.com/office/drawing/2010/main" spid="_x0000_s1241"/>
            </a:ext>
            <a:ext uri="{FF2B5EF4-FFF2-40B4-BE49-F238E27FC236}">
              <a16:creationId xmlns:a16="http://schemas.microsoft.com/office/drawing/2014/main" id="{00000000-0008-0000-0500-0000D9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215900</xdr:colOff>
      <xdr:row>7</xdr:row>
      <xdr:rowOff>38100</xdr:rowOff>
    </xdr:from>
    <xdr:to>
      <xdr:col>15</xdr:col>
      <xdr:colOff>811892</xdr:colOff>
      <xdr:row>8</xdr:row>
      <xdr:rowOff>76200</xdr:rowOff>
    </xdr:to>
    <xdr:sp macro="" textlink="">
      <xdr:nvSpPr>
        <xdr:cNvPr id="1242" name="CheckBox7" hidden="1">
          <a:extLst>
            <a:ext uri="{63B3BB69-23CF-44E3-9099-C40C66FF867C}">
              <a14:compatExt xmlns:a14="http://schemas.microsoft.com/office/drawing/2010/main" spid="_x0000_s1242"/>
            </a:ext>
            <a:ext uri="{FF2B5EF4-FFF2-40B4-BE49-F238E27FC236}">
              <a16:creationId xmlns:a16="http://schemas.microsoft.com/office/drawing/2014/main" id="{00000000-0008-0000-0500-0000DA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482600</xdr:colOff>
      <xdr:row>5</xdr:row>
      <xdr:rowOff>190500</xdr:rowOff>
    </xdr:from>
    <xdr:to>
      <xdr:col>16</xdr:col>
      <xdr:colOff>660400</xdr:colOff>
      <xdr:row>7</xdr:row>
      <xdr:rowOff>165100</xdr:rowOff>
    </xdr:to>
    <xdr:sp macro="" textlink="">
      <xdr:nvSpPr>
        <xdr:cNvPr id="1243" name="CheckBox8" hidden="1">
          <a:extLst>
            <a:ext uri="{63B3BB69-23CF-44E3-9099-C40C66FF867C}">
              <a14:compatExt xmlns:a14="http://schemas.microsoft.com/office/drawing/2010/main" spid="_x0000_s1243"/>
            </a:ext>
            <a:ext uri="{FF2B5EF4-FFF2-40B4-BE49-F238E27FC236}">
              <a16:creationId xmlns:a16="http://schemas.microsoft.com/office/drawing/2014/main" id="{00000000-0008-0000-0500-0000DB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482600</xdr:colOff>
      <xdr:row>7</xdr:row>
      <xdr:rowOff>101600</xdr:rowOff>
    </xdr:from>
    <xdr:to>
      <xdr:col>16</xdr:col>
      <xdr:colOff>546100</xdr:colOff>
      <xdr:row>8</xdr:row>
      <xdr:rowOff>165100</xdr:rowOff>
    </xdr:to>
    <xdr:sp macro="" textlink="">
      <xdr:nvSpPr>
        <xdr:cNvPr id="1244" name="CheckBox9" hidden="1">
          <a:extLst>
            <a:ext uri="{63B3BB69-23CF-44E3-9099-C40C66FF867C}">
              <a14:compatExt xmlns:a14="http://schemas.microsoft.com/office/drawing/2010/main" spid="_x0000_s1244"/>
            </a:ext>
            <a:ext uri="{FF2B5EF4-FFF2-40B4-BE49-F238E27FC236}">
              <a16:creationId xmlns:a16="http://schemas.microsoft.com/office/drawing/2014/main" id="{00000000-0008-0000-0500-0000DC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0</xdr:colOff>
      <xdr:row>7</xdr:row>
      <xdr:rowOff>76200</xdr:rowOff>
    </xdr:from>
    <xdr:to>
      <xdr:col>17</xdr:col>
      <xdr:colOff>723900</xdr:colOff>
      <xdr:row>8</xdr:row>
      <xdr:rowOff>101600</xdr:rowOff>
    </xdr:to>
    <xdr:sp macro="" textlink="">
      <xdr:nvSpPr>
        <xdr:cNvPr id="1245" name="CheckBox10" hidden="1">
          <a:extLst>
            <a:ext uri="{63B3BB69-23CF-44E3-9099-C40C66FF867C}">
              <a14:compatExt xmlns:a14="http://schemas.microsoft.com/office/drawing/2010/main" spid="_x0000_s1245"/>
            </a:ext>
            <a:ext uri="{FF2B5EF4-FFF2-40B4-BE49-F238E27FC236}">
              <a16:creationId xmlns:a16="http://schemas.microsoft.com/office/drawing/2014/main" id="{00000000-0008-0000-0500-0000DD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editAs="oneCell">
    <xdr:from>
      <xdr:col>17</xdr:col>
      <xdr:colOff>0</xdr:colOff>
      <xdr:row>5</xdr:row>
      <xdr:rowOff>177800</xdr:rowOff>
    </xdr:from>
    <xdr:to>
      <xdr:col>17</xdr:col>
      <xdr:colOff>660400</xdr:colOff>
      <xdr:row>7</xdr:row>
      <xdr:rowOff>63500</xdr:rowOff>
    </xdr:to>
    <xdr:sp macro="" textlink="">
      <xdr:nvSpPr>
        <xdr:cNvPr id="1246" name="CheckBox11" hidden="1">
          <a:extLst>
            <a:ext uri="{63B3BB69-23CF-44E3-9099-C40C66FF867C}">
              <a14:compatExt xmlns:a14="http://schemas.microsoft.com/office/drawing/2010/main" spid="_x0000_s1246"/>
            </a:ext>
            <a:ext uri="{FF2B5EF4-FFF2-40B4-BE49-F238E27FC236}">
              <a16:creationId xmlns:a16="http://schemas.microsoft.com/office/drawing/2014/main" id="{00000000-0008-0000-0500-0000DE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5</xdr:col>
      <xdr:colOff>38099</xdr:colOff>
      <xdr:row>102</xdr:row>
      <xdr:rowOff>110067</xdr:rowOff>
    </xdr:from>
    <xdr:to>
      <xdr:col>5</xdr:col>
      <xdr:colOff>266699</xdr:colOff>
      <xdr:row>103</xdr:row>
      <xdr:rowOff>98425</xdr:rowOff>
    </xdr:to>
    <xdr:sp macro="[0]!TextBox1_Click" textlink="">
      <xdr:nvSpPr>
        <xdr:cNvPr id="2" name="TextBox 1" hidden="1">
          <a:extLst>
            <a:ext uri="{FF2B5EF4-FFF2-40B4-BE49-F238E27FC236}">
              <a16:creationId xmlns:a16="http://schemas.microsoft.com/office/drawing/2014/main" id="{00000000-0008-0000-0500-000002000000}"/>
            </a:ext>
          </a:extLst>
        </xdr:cNvPr>
        <xdr:cNvSpPr txBox="1"/>
      </xdr:nvSpPr>
      <xdr:spPr>
        <a:xfrm>
          <a:off x="638174" y="8996892"/>
          <a:ext cx="228600" cy="188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4</xdr:col>
      <xdr:colOff>212725</xdr:colOff>
      <xdr:row>104</xdr:row>
      <xdr:rowOff>92604</xdr:rowOff>
    </xdr:from>
    <xdr:to>
      <xdr:col>5</xdr:col>
      <xdr:colOff>60325</xdr:colOff>
      <xdr:row>105</xdr:row>
      <xdr:rowOff>141287</xdr:rowOff>
    </xdr:to>
    <xdr:sp macro="[0]!TextBox2_Click" textlink="">
      <xdr:nvSpPr>
        <xdr:cNvPr id="3" name="TextBox 2" hidden="1">
          <a:extLst>
            <a:ext uri="{FF2B5EF4-FFF2-40B4-BE49-F238E27FC236}">
              <a16:creationId xmlns:a16="http://schemas.microsoft.com/office/drawing/2014/main" id="{00000000-0008-0000-0500-000003000000}"/>
            </a:ext>
          </a:extLst>
        </xdr:cNvPr>
        <xdr:cNvSpPr txBox="1"/>
      </xdr:nvSpPr>
      <xdr:spPr>
        <a:xfrm>
          <a:off x="384175" y="9379479"/>
          <a:ext cx="276225" cy="24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5</xdr:col>
      <xdr:colOff>34925</xdr:colOff>
      <xdr:row>104</xdr:row>
      <xdr:rowOff>99484</xdr:rowOff>
    </xdr:from>
    <xdr:to>
      <xdr:col>5</xdr:col>
      <xdr:colOff>263525</xdr:colOff>
      <xdr:row>105</xdr:row>
      <xdr:rowOff>138642</xdr:rowOff>
    </xdr:to>
    <xdr:sp macro="[0]!TextBox3_Click" textlink="">
      <xdr:nvSpPr>
        <xdr:cNvPr id="4" name="TextBox 3" hidden="1">
          <a:extLst>
            <a:ext uri="{FF2B5EF4-FFF2-40B4-BE49-F238E27FC236}">
              <a16:creationId xmlns:a16="http://schemas.microsoft.com/office/drawing/2014/main" id="{00000000-0008-0000-0500-000004000000}"/>
            </a:ext>
          </a:extLst>
        </xdr:cNvPr>
        <xdr:cNvSpPr txBox="1"/>
      </xdr:nvSpPr>
      <xdr:spPr>
        <a:xfrm>
          <a:off x="635000" y="9386359"/>
          <a:ext cx="228600" cy="239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185738</xdr:colOff>
      <xdr:row>106</xdr:row>
      <xdr:rowOff>100012</xdr:rowOff>
    </xdr:from>
    <xdr:to>
      <xdr:col>5</xdr:col>
      <xdr:colOff>33338</xdr:colOff>
      <xdr:row>107</xdr:row>
      <xdr:rowOff>136524</xdr:rowOff>
    </xdr:to>
    <xdr:sp macro="[0]!TextBox4_Click" textlink="">
      <xdr:nvSpPr>
        <xdr:cNvPr id="5" name="TextBox 4" hidden="1">
          <a:extLst>
            <a:ext uri="{FF2B5EF4-FFF2-40B4-BE49-F238E27FC236}">
              <a16:creationId xmlns:a16="http://schemas.microsoft.com/office/drawing/2014/main" id="{00000000-0008-0000-0500-000005000000}"/>
            </a:ext>
          </a:extLst>
        </xdr:cNvPr>
        <xdr:cNvSpPr txBox="1"/>
      </xdr:nvSpPr>
      <xdr:spPr>
        <a:xfrm>
          <a:off x="357188" y="9786937"/>
          <a:ext cx="276225" cy="236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5</xdr:col>
      <xdr:colOff>25401</xdr:colOff>
      <xdr:row>106</xdr:row>
      <xdr:rowOff>100013</xdr:rowOff>
    </xdr:from>
    <xdr:to>
      <xdr:col>5</xdr:col>
      <xdr:colOff>254001</xdr:colOff>
      <xdr:row>107</xdr:row>
      <xdr:rowOff>127000</xdr:rowOff>
    </xdr:to>
    <xdr:sp macro="[0]!TextBox5_Click" textlink="">
      <xdr:nvSpPr>
        <xdr:cNvPr id="6" name="TextBox 5" hidden="1">
          <a:extLst>
            <a:ext uri="{FF2B5EF4-FFF2-40B4-BE49-F238E27FC236}">
              <a16:creationId xmlns:a16="http://schemas.microsoft.com/office/drawing/2014/main" id="{00000000-0008-0000-0500-000006000000}"/>
            </a:ext>
          </a:extLst>
        </xdr:cNvPr>
        <xdr:cNvSpPr txBox="1"/>
      </xdr:nvSpPr>
      <xdr:spPr>
        <a:xfrm>
          <a:off x="625476" y="9786938"/>
          <a:ext cx="228600" cy="227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4</xdr:col>
      <xdr:colOff>209550</xdr:colOff>
      <xdr:row>108</xdr:row>
      <xdr:rowOff>100012</xdr:rowOff>
    </xdr:from>
    <xdr:to>
      <xdr:col>5</xdr:col>
      <xdr:colOff>57150</xdr:colOff>
      <xdr:row>109</xdr:row>
      <xdr:rowOff>146050</xdr:rowOff>
    </xdr:to>
    <xdr:sp macro="[0]!TextBox6_Click" textlink="">
      <xdr:nvSpPr>
        <xdr:cNvPr id="7" name="TextBox 6" hidden="1">
          <a:extLst>
            <a:ext uri="{FF2B5EF4-FFF2-40B4-BE49-F238E27FC236}">
              <a16:creationId xmlns:a16="http://schemas.microsoft.com/office/drawing/2014/main" id="{00000000-0008-0000-0500-000007000000}"/>
            </a:ext>
          </a:extLst>
        </xdr:cNvPr>
        <xdr:cNvSpPr txBox="1"/>
      </xdr:nvSpPr>
      <xdr:spPr>
        <a:xfrm>
          <a:off x="381000" y="10186987"/>
          <a:ext cx="276225" cy="246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39687</xdr:colOff>
      <xdr:row>108</xdr:row>
      <xdr:rowOff>100012</xdr:rowOff>
    </xdr:from>
    <xdr:to>
      <xdr:col>5</xdr:col>
      <xdr:colOff>268287</xdr:colOff>
      <xdr:row>109</xdr:row>
      <xdr:rowOff>146050</xdr:rowOff>
    </xdr:to>
    <xdr:sp macro="[0]!TextBox7_Click" textlink="">
      <xdr:nvSpPr>
        <xdr:cNvPr id="8" name="TextBox 7" hidden="1">
          <a:extLst>
            <a:ext uri="{FF2B5EF4-FFF2-40B4-BE49-F238E27FC236}">
              <a16:creationId xmlns:a16="http://schemas.microsoft.com/office/drawing/2014/main" id="{00000000-0008-0000-0500-000008000000}"/>
            </a:ext>
          </a:extLst>
        </xdr:cNvPr>
        <xdr:cNvSpPr txBox="1"/>
      </xdr:nvSpPr>
      <xdr:spPr>
        <a:xfrm>
          <a:off x="639762" y="10186987"/>
          <a:ext cx="228600" cy="246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4</xdr:col>
      <xdr:colOff>214313</xdr:colOff>
      <xdr:row>110</xdr:row>
      <xdr:rowOff>93663</xdr:rowOff>
    </xdr:from>
    <xdr:to>
      <xdr:col>5</xdr:col>
      <xdr:colOff>61913</xdr:colOff>
      <xdr:row>111</xdr:row>
      <xdr:rowOff>139700</xdr:rowOff>
    </xdr:to>
    <xdr:sp macro="[0]!TextBox8_Click" textlink="">
      <xdr:nvSpPr>
        <xdr:cNvPr id="9" name="TextBox 8" hidden="1">
          <a:extLst>
            <a:ext uri="{FF2B5EF4-FFF2-40B4-BE49-F238E27FC236}">
              <a16:creationId xmlns:a16="http://schemas.microsoft.com/office/drawing/2014/main" id="{00000000-0008-0000-0500-000009000000}"/>
            </a:ext>
          </a:extLst>
        </xdr:cNvPr>
        <xdr:cNvSpPr txBox="1"/>
      </xdr:nvSpPr>
      <xdr:spPr>
        <a:xfrm>
          <a:off x="385763" y="10580688"/>
          <a:ext cx="276225" cy="24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34925</xdr:colOff>
      <xdr:row>110</xdr:row>
      <xdr:rowOff>93662</xdr:rowOff>
    </xdr:from>
    <xdr:to>
      <xdr:col>5</xdr:col>
      <xdr:colOff>263525</xdr:colOff>
      <xdr:row>111</xdr:row>
      <xdr:rowOff>139699</xdr:rowOff>
    </xdr:to>
    <xdr:sp macro="[0]!TextBox9_Click" textlink="">
      <xdr:nvSpPr>
        <xdr:cNvPr id="10" name="TextBox 9" hidden="1">
          <a:extLst>
            <a:ext uri="{FF2B5EF4-FFF2-40B4-BE49-F238E27FC236}">
              <a16:creationId xmlns:a16="http://schemas.microsoft.com/office/drawing/2014/main" id="{00000000-0008-0000-0500-00000A000000}"/>
            </a:ext>
          </a:extLst>
        </xdr:cNvPr>
        <xdr:cNvSpPr txBox="1"/>
      </xdr:nvSpPr>
      <xdr:spPr>
        <a:xfrm>
          <a:off x="635000" y="10580687"/>
          <a:ext cx="228600" cy="24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177800</xdr:colOff>
      <xdr:row>112</xdr:row>
      <xdr:rowOff>104775</xdr:rowOff>
    </xdr:from>
    <xdr:to>
      <xdr:col>5</xdr:col>
      <xdr:colOff>25400</xdr:colOff>
      <xdr:row>113</xdr:row>
      <xdr:rowOff>141288</xdr:rowOff>
    </xdr:to>
    <xdr:sp macro="[0]!TextBox10_Click" textlink="">
      <xdr:nvSpPr>
        <xdr:cNvPr id="11" name="TextBox 10" hidden="1">
          <a:extLst>
            <a:ext uri="{FF2B5EF4-FFF2-40B4-BE49-F238E27FC236}">
              <a16:creationId xmlns:a16="http://schemas.microsoft.com/office/drawing/2014/main" id="{00000000-0008-0000-0500-00000B000000}"/>
            </a:ext>
          </a:extLst>
        </xdr:cNvPr>
        <xdr:cNvSpPr txBox="1"/>
      </xdr:nvSpPr>
      <xdr:spPr>
        <a:xfrm>
          <a:off x="349250" y="10991850"/>
          <a:ext cx="276225" cy="236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4763</xdr:colOff>
      <xdr:row>112</xdr:row>
      <xdr:rowOff>112711</xdr:rowOff>
    </xdr:from>
    <xdr:to>
      <xdr:col>5</xdr:col>
      <xdr:colOff>233363</xdr:colOff>
      <xdr:row>113</xdr:row>
      <xdr:rowOff>130174</xdr:rowOff>
    </xdr:to>
    <xdr:sp macro="[0]!TextBox11_Click" textlink="">
      <xdr:nvSpPr>
        <xdr:cNvPr id="12" name="TextBox 11" hidden="1">
          <a:extLst>
            <a:ext uri="{FF2B5EF4-FFF2-40B4-BE49-F238E27FC236}">
              <a16:creationId xmlns:a16="http://schemas.microsoft.com/office/drawing/2014/main" id="{00000000-0008-0000-0500-00000C000000}"/>
            </a:ext>
          </a:extLst>
        </xdr:cNvPr>
        <xdr:cNvSpPr txBox="1"/>
      </xdr:nvSpPr>
      <xdr:spPr>
        <a:xfrm>
          <a:off x="604838" y="10999786"/>
          <a:ext cx="228600" cy="217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177800</xdr:colOff>
      <xdr:row>114</xdr:row>
      <xdr:rowOff>147638</xdr:rowOff>
    </xdr:from>
    <xdr:to>
      <xdr:col>5</xdr:col>
      <xdr:colOff>25400</xdr:colOff>
      <xdr:row>115</xdr:row>
      <xdr:rowOff>138112</xdr:rowOff>
    </xdr:to>
    <xdr:sp macro="[0]!TextBox12_Click" textlink="">
      <xdr:nvSpPr>
        <xdr:cNvPr id="13" name="TextBox 12" hidden="1">
          <a:extLst>
            <a:ext uri="{FF2B5EF4-FFF2-40B4-BE49-F238E27FC236}">
              <a16:creationId xmlns:a16="http://schemas.microsoft.com/office/drawing/2014/main" id="{00000000-0008-0000-0500-00000D000000}"/>
            </a:ext>
          </a:extLst>
        </xdr:cNvPr>
        <xdr:cNvSpPr txBox="1"/>
      </xdr:nvSpPr>
      <xdr:spPr>
        <a:xfrm>
          <a:off x="349250" y="11434763"/>
          <a:ext cx="276225"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17463</xdr:colOff>
      <xdr:row>114</xdr:row>
      <xdr:rowOff>131763</xdr:rowOff>
    </xdr:from>
    <xdr:to>
      <xdr:col>5</xdr:col>
      <xdr:colOff>246063</xdr:colOff>
      <xdr:row>115</xdr:row>
      <xdr:rowOff>120650</xdr:rowOff>
    </xdr:to>
    <xdr:sp macro="[0]!TextBox13_Click" textlink="">
      <xdr:nvSpPr>
        <xdr:cNvPr id="14" name="TextBox 13" hidden="1">
          <a:extLst>
            <a:ext uri="{FF2B5EF4-FFF2-40B4-BE49-F238E27FC236}">
              <a16:creationId xmlns:a16="http://schemas.microsoft.com/office/drawing/2014/main" id="{00000000-0008-0000-0500-00000E000000}"/>
            </a:ext>
          </a:extLst>
        </xdr:cNvPr>
        <xdr:cNvSpPr txBox="1"/>
      </xdr:nvSpPr>
      <xdr:spPr>
        <a:xfrm>
          <a:off x="617538" y="11418888"/>
          <a:ext cx="228600"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200025</xdr:colOff>
      <xdr:row>116</xdr:row>
      <xdr:rowOff>93661</xdr:rowOff>
    </xdr:from>
    <xdr:to>
      <xdr:col>5</xdr:col>
      <xdr:colOff>47625</xdr:colOff>
      <xdr:row>117</xdr:row>
      <xdr:rowOff>120649</xdr:rowOff>
    </xdr:to>
    <xdr:sp macro="[0]!TextBox14_Click" textlink="">
      <xdr:nvSpPr>
        <xdr:cNvPr id="15" name="TextBox 14" hidden="1">
          <a:extLst>
            <a:ext uri="{FF2B5EF4-FFF2-40B4-BE49-F238E27FC236}">
              <a16:creationId xmlns:a16="http://schemas.microsoft.com/office/drawing/2014/main" id="{00000000-0008-0000-0500-00000F000000}"/>
            </a:ext>
          </a:extLst>
        </xdr:cNvPr>
        <xdr:cNvSpPr txBox="1"/>
      </xdr:nvSpPr>
      <xdr:spPr>
        <a:xfrm>
          <a:off x="371475" y="11780836"/>
          <a:ext cx="276225" cy="227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26988</xdr:colOff>
      <xdr:row>116</xdr:row>
      <xdr:rowOff>106363</xdr:rowOff>
    </xdr:from>
    <xdr:to>
      <xdr:col>5</xdr:col>
      <xdr:colOff>255588</xdr:colOff>
      <xdr:row>117</xdr:row>
      <xdr:rowOff>133351</xdr:rowOff>
    </xdr:to>
    <xdr:sp macro="[0]!TextBox15_Click" textlink="">
      <xdr:nvSpPr>
        <xdr:cNvPr id="16" name="TextBox 15" hidden="1">
          <a:extLst>
            <a:ext uri="{FF2B5EF4-FFF2-40B4-BE49-F238E27FC236}">
              <a16:creationId xmlns:a16="http://schemas.microsoft.com/office/drawing/2014/main" id="{00000000-0008-0000-0500-000010000000}"/>
            </a:ext>
          </a:extLst>
        </xdr:cNvPr>
        <xdr:cNvSpPr txBox="1"/>
      </xdr:nvSpPr>
      <xdr:spPr>
        <a:xfrm>
          <a:off x="627063" y="11793538"/>
          <a:ext cx="228600" cy="227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198438</xdr:colOff>
      <xdr:row>118</xdr:row>
      <xdr:rowOff>144463</xdr:rowOff>
    </xdr:from>
    <xdr:to>
      <xdr:col>5</xdr:col>
      <xdr:colOff>47625</xdr:colOff>
      <xdr:row>119</xdr:row>
      <xdr:rowOff>133350</xdr:rowOff>
    </xdr:to>
    <xdr:sp macro="[0]!TextBox16_Click" textlink="">
      <xdr:nvSpPr>
        <xdr:cNvPr id="17" name="TextBox 16" hidden="1">
          <a:extLst>
            <a:ext uri="{FF2B5EF4-FFF2-40B4-BE49-F238E27FC236}">
              <a16:creationId xmlns:a16="http://schemas.microsoft.com/office/drawing/2014/main" id="{00000000-0008-0000-0500-000011000000}"/>
            </a:ext>
          </a:extLst>
        </xdr:cNvPr>
        <xdr:cNvSpPr txBox="1"/>
      </xdr:nvSpPr>
      <xdr:spPr>
        <a:xfrm>
          <a:off x="369888" y="12231688"/>
          <a:ext cx="277812"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20638</xdr:colOff>
      <xdr:row>118</xdr:row>
      <xdr:rowOff>139700</xdr:rowOff>
    </xdr:from>
    <xdr:to>
      <xdr:col>5</xdr:col>
      <xdr:colOff>249238</xdr:colOff>
      <xdr:row>119</xdr:row>
      <xdr:rowOff>128587</xdr:rowOff>
    </xdr:to>
    <xdr:sp macro="[0]!TextBox17_Click" textlink="">
      <xdr:nvSpPr>
        <xdr:cNvPr id="18" name="TextBox 17" hidden="1">
          <a:extLst>
            <a:ext uri="{FF2B5EF4-FFF2-40B4-BE49-F238E27FC236}">
              <a16:creationId xmlns:a16="http://schemas.microsoft.com/office/drawing/2014/main" id="{00000000-0008-0000-0500-000012000000}"/>
            </a:ext>
          </a:extLst>
        </xdr:cNvPr>
        <xdr:cNvSpPr txBox="1"/>
      </xdr:nvSpPr>
      <xdr:spPr>
        <a:xfrm>
          <a:off x="620713" y="12226925"/>
          <a:ext cx="228600"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188913</xdr:colOff>
      <xdr:row>120</xdr:row>
      <xdr:rowOff>111125</xdr:rowOff>
    </xdr:from>
    <xdr:to>
      <xdr:col>5</xdr:col>
      <xdr:colOff>36513</xdr:colOff>
      <xdr:row>121</xdr:row>
      <xdr:rowOff>128588</xdr:rowOff>
    </xdr:to>
    <xdr:sp macro="[0]!TextBox18_Click" textlink="">
      <xdr:nvSpPr>
        <xdr:cNvPr id="19" name="TextBox 18" hidden="1">
          <a:extLst>
            <a:ext uri="{FF2B5EF4-FFF2-40B4-BE49-F238E27FC236}">
              <a16:creationId xmlns:a16="http://schemas.microsoft.com/office/drawing/2014/main" id="{00000000-0008-0000-0500-000013000000}"/>
            </a:ext>
          </a:extLst>
        </xdr:cNvPr>
        <xdr:cNvSpPr txBox="1"/>
      </xdr:nvSpPr>
      <xdr:spPr>
        <a:xfrm>
          <a:off x="360363" y="12598400"/>
          <a:ext cx="276225" cy="217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20638</xdr:colOff>
      <xdr:row>120</xdr:row>
      <xdr:rowOff>130175</xdr:rowOff>
    </xdr:from>
    <xdr:to>
      <xdr:col>5</xdr:col>
      <xdr:colOff>249238</xdr:colOff>
      <xdr:row>121</xdr:row>
      <xdr:rowOff>119063</xdr:rowOff>
    </xdr:to>
    <xdr:sp macro="[0]!TextBox19_Click" textlink="">
      <xdr:nvSpPr>
        <xdr:cNvPr id="20" name="TextBox 19" hidden="1">
          <a:extLst>
            <a:ext uri="{FF2B5EF4-FFF2-40B4-BE49-F238E27FC236}">
              <a16:creationId xmlns:a16="http://schemas.microsoft.com/office/drawing/2014/main" id="{00000000-0008-0000-0500-000014000000}"/>
            </a:ext>
          </a:extLst>
        </xdr:cNvPr>
        <xdr:cNvSpPr txBox="1"/>
      </xdr:nvSpPr>
      <xdr:spPr>
        <a:xfrm>
          <a:off x="620713" y="12617450"/>
          <a:ext cx="228600" cy="18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217488</xdr:colOff>
      <xdr:row>122</xdr:row>
      <xdr:rowOff>84138</xdr:rowOff>
    </xdr:from>
    <xdr:to>
      <xdr:col>5</xdr:col>
      <xdr:colOff>65088</xdr:colOff>
      <xdr:row>123</xdr:row>
      <xdr:rowOff>130175</xdr:rowOff>
    </xdr:to>
    <xdr:sp macro="[0]!TextBox20_Click" textlink="">
      <xdr:nvSpPr>
        <xdr:cNvPr id="21" name="TextBox 20" hidden="1">
          <a:extLst>
            <a:ext uri="{FF2B5EF4-FFF2-40B4-BE49-F238E27FC236}">
              <a16:creationId xmlns:a16="http://schemas.microsoft.com/office/drawing/2014/main" id="{00000000-0008-0000-0500-000015000000}"/>
            </a:ext>
          </a:extLst>
        </xdr:cNvPr>
        <xdr:cNvSpPr txBox="1"/>
      </xdr:nvSpPr>
      <xdr:spPr>
        <a:xfrm>
          <a:off x="388938" y="12971463"/>
          <a:ext cx="276225" cy="24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36513</xdr:colOff>
      <xdr:row>122</xdr:row>
      <xdr:rowOff>85725</xdr:rowOff>
    </xdr:from>
    <xdr:to>
      <xdr:col>5</xdr:col>
      <xdr:colOff>265113</xdr:colOff>
      <xdr:row>123</xdr:row>
      <xdr:rowOff>122237</xdr:rowOff>
    </xdr:to>
    <xdr:sp macro="[0]!TextBox21_Click" textlink="">
      <xdr:nvSpPr>
        <xdr:cNvPr id="22" name="TextBox 21" hidden="1">
          <a:extLst>
            <a:ext uri="{FF2B5EF4-FFF2-40B4-BE49-F238E27FC236}">
              <a16:creationId xmlns:a16="http://schemas.microsoft.com/office/drawing/2014/main" id="{00000000-0008-0000-0500-000016000000}"/>
            </a:ext>
          </a:extLst>
        </xdr:cNvPr>
        <xdr:cNvSpPr txBox="1"/>
      </xdr:nvSpPr>
      <xdr:spPr>
        <a:xfrm>
          <a:off x="636588" y="12973050"/>
          <a:ext cx="228600" cy="236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198438</xdr:colOff>
      <xdr:row>124</xdr:row>
      <xdr:rowOff>104775</xdr:rowOff>
    </xdr:from>
    <xdr:to>
      <xdr:col>5</xdr:col>
      <xdr:colOff>46038</xdr:colOff>
      <xdr:row>125</xdr:row>
      <xdr:rowOff>141288</xdr:rowOff>
    </xdr:to>
    <xdr:sp macro="[0]!TextBox22_Click" textlink="">
      <xdr:nvSpPr>
        <xdr:cNvPr id="23" name="TextBox 22" hidden="1">
          <a:extLst>
            <a:ext uri="{FF2B5EF4-FFF2-40B4-BE49-F238E27FC236}">
              <a16:creationId xmlns:a16="http://schemas.microsoft.com/office/drawing/2014/main" id="{00000000-0008-0000-0500-000017000000}"/>
            </a:ext>
          </a:extLst>
        </xdr:cNvPr>
        <xdr:cNvSpPr txBox="1"/>
      </xdr:nvSpPr>
      <xdr:spPr>
        <a:xfrm>
          <a:off x="369888" y="13392150"/>
          <a:ext cx="276225" cy="236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25400</xdr:colOff>
      <xdr:row>124</xdr:row>
      <xdr:rowOff>106362</xdr:rowOff>
    </xdr:from>
    <xdr:to>
      <xdr:col>5</xdr:col>
      <xdr:colOff>255588</xdr:colOff>
      <xdr:row>125</xdr:row>
      <xdr:rowOff>133350</xdr:rowOff>
    </xdr:to>
    <xdr:sp macro="[0]!TextBox23_Click" textlink="">
      <xdr:nvSpPr>
        <xdr:cNvPr id="24" name="TextBox 23" hidden="1">
          <a:extLst>
            <a:ext uri="{FF2B5EF4-FFF2-40B4-BE49-F238E27FC236}">
              <a16:creationId xmlns:a16="http://schemas.microsoft.com/office/drawing/2014/main" id="{00000000-0008-0000-0500-000018000000}"/>
            </a:ext>
          </a:extLst>
        </xdr:cNvPr>
        <xdr:cNvSpPr txBox="1"/>
      </xdr:nvSpPr>
      <xdr:spPr>
        <a:xfrm>
          <a:off x="625475" y="13393737"/>
          <a:ext cx="230188" cy="227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220663</xdr:colOff>
      <xdr:row>126</xdr:row>
      <xdr:rowOff>136525</xdr:rowOff>
    </xdr:from>
    <xdr:to>
      <xdr:col>5</xdr:col>
      <xdr:colOff>68263</xdr:colOff>
      <xdr:row>127</xdr:row>
      <xdr:rowOff>134937</xdr:rowOff>
    </xdr:to>
    <xdr:sp macro="[0]!TextBox24_Click" textlink="">
      <xdr:nvSpPr>
        <xdr:cNvPr id="25" name="TextBox 24" hidden="1">
          <a:extLst>
            <a:ext uri="{FF2B5EF4-FFF2-40B4-BE49-F238E27FC236}">
              <a16:creationId xmlns:a16="http://schemas.microsoft.com/office/drawing/2014/main" id="{00000000-0008-0000-0500-000019000000}"/>
            </a:ext>
          </a:extLst>
        </xdr:cNvPr>
        <xdr:cNvSpPr txBox="1"/>
      </xdr:nvSpPr>
      <xdr:spPr>
        <a:xfrm>
          <a:off x="392113" y="13823950"/>
          <a:ext cx="276225" cy="198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39688</xdr:colOff>
      <xdr:row>126</xdr:row>
      <xdr:rowOff>130175</xdr:rowOff>
    </xdr:from>
    <xdr:to>
      <xdr:col>5</xdr:col>
      <xdr:colOff>268288</xdr:colOff>
      <xdr:row>127</xdr:row>
      <xdr:rowOff>128587</xdr:rowOff>
    </xdr:to>
    <xdr:sp macro="[0]!TextBox25_Click" textlink="">
      <xdr:nvSpPr>
        <xdr:cNvPr id="26" name="TextBox 25" hidden="1">
          <a:extLst>
            <a:ext uri="{FF2B5EF4-FFF2-40B4-BE49-F238E27FC236}">
              <a16:creationId xmlns:a16="http://schemas.microsoft.com/office/drawing/2014/main" id="{00000000-0008-0000-0500-00001A000000}"/>
            </a:ext>
          </a:extLst>
        </xdr:cNvPr>
        <xdr:cNvSpPr txBox="1"/>
      </xdr:nvSpPr>
      <xdr:spPr>
        <a:xfrm>
          <a:off x="639763" y="13817600"/>
          <a:ext cx="228600" cy="198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204788</xdr:colOff>
      <xdr:row>128</xdr:row>
      <xdr:rowOff>134936</xdr:rowOff>
    </xdr:from>
    <xdr:to>
      <xdr:col>5</xdr:col>
      <xdr:colOff>52388</xdr:colOff>
      <xdr:row>129</xdr:row>
      <xdr:rowOff>133349</xdr:rowOff>
    </xdr:to>
    <xdr:sp macro="[0]!TextBox26_Click" textlink="">
      <xdr:nvSpPr>
        <xdr:cNvPr id="27" name="TextBox 26" hidden="1">
          <a:extLst>
            <a:ext uri="{FF2B5EF4-FFF2-40B4-BE49-F238E27FC236}">
              <a16:creationId xmlns:a16="http://schemas.microsoft.com/office/drawing/2014/main" id="{00000000-0008-0000-0500-00001B000000}"/>
            </a:ext>
          </a:extLst>
        </xdr:cNvPr>
        <xdr:cNvSpPr txBox="1"/>
      </xdr:nvSpPr>
      <xdr:spPr>
        <a:xfrm>
          <a:off x="376238" y="14222411"/>
          <a:ext cx="276225" cy="198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41275</xdr:colOff>
      <xdr:row>128</xdr:row>
      <xdr:rowOff>125412</xdr:rowOff>
    </xdr:from>
    <xdr:to>
      <xdr:col>5</xdr:col>
      <xdr:colOff>269875</xdr:colOff>
      <xdr:row>129</xdr:row>
      <xdr:rowOff>114300</xdr:rowOff>
    </xdr:to>
    <xdr:sp macro="[0]!TextBox27_Click" textlink="">
      <xdr:nvSpPr>
        <xdr:cNvPr id="28" name="TextBox 27" hidden="1">
          <a:extLst>
            <a:ext uri="{FF2B5EF4-FFF2-40B4-BE49-F238E27FC236}">
              <a16:creationId xmlns:a16="http://schemas.microsoft.com/office/drawing/2014/main" id="{00000000-0008-0000-0500-00001C000000}"/>
            </a:ext>
          </a:extLst>
        </xdr:cNvPr>
        <xdr:cNvSpPr txBox="1"/>
      </xdr:nvSpPr>
      <xdr:spPr>
        <a:xfrm>
          <a:off x="641350" y="14212887"/>
          <a:ext cx="228600" cy="18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240769</xdr:colOff>
      <xdr:row>130</xdr:row>
      <xdr:rowOff>140759</xdr:rowOff>
    </xdr:from>
    <xdr:to>
      <xdr:col>5</xdr:col>
      <xdr:colOff>35452</xdr:colOff>
      <xdr:row>131</xdr:row>
      <xdr:rowOff>114300</xdr:rowOff>
    </xdr:to>
    <xdr:sp macro="[0]!TextBox28_Click" textlink="">
      <xdr:nvSpPr>
        <xdr:cNvPr id="29" name="TextBox 28" hidden="1">
          <a:extLst>
            <a:ext uri="{FF2B5EF4-FFF2-40B4-BE49-F238E27FC236}">
              <a16:creationId xmlns:a16="http://schemas.microsoft.com/office/drawing/2014/main" id="{00000000-0008-0000-0500-00001D000000}"/>
            </a:ext>
          </a:extLst>
        </xdr:cNvPr>
        <xdr:cNvSpPr txBox="1"/>
      </xdr:nvSpPr>
      <xdr:spPr>
        <a:xfrm>
          <a:off x="412219" y="14628284"/>
          <a:ext cx="223308" cy="17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7</xdr:col>
      <xdr:colOff>1714498</xdr:colOff>
      <xdr:row>14</xdr:row>
      <xdr:rowOff>35718</xdr:rowOff>
    </xdr:from>
    <xdr:to>
      <xdr:col>7</xdr:col>
      <xdr:colOff>2952750</xdr:colOff>
      <xdr:row>14</xdr:row>
      <xdr:rowOff>201929</xdr:rowOff>
    </xdr:to>
    <xdr:sp macro="[0]!TextBox29_Click" textlink="">
      <xdr:nvSpPr>
        <xdr:cNvPr id="30" name="TextBox 29">
          <a:extLst>
            <a:ext uri="{FF2B5EF4-FFF2-40B4-BE49-F238E27FC236}">
              <a16:creationId xmlns:a16="http://schemas.microsoft.com/office/drawing/2014/main" id="{00000000-0008-0000-0500-00001E000000}"/>
            </a:ext>
          </a:extLst>
        </xdr:cNvPr>
        <xdr:cNvSpPr txBox="1"/>
      </xdr:nvSpPr>
      <xdr:spPr>
        <a:xfrm>
          <a:off x="3524248" y="5191124"/>
          <a:ext cx="1238252" cy="166211"/>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a:t>
          </a:r>
          <a:r>
            <a:rPr lang="en-US" sz="1100" baseline="0">
              <a:latin typeface="Arial" pitchFamily="34" charset="0"/>
              <a:cs typeface="Arial" pitchFamily="34" charset="0"/>
            </a:rPr>
            <a:t> 1 Mgt Info</a:t>
          </a:r>
          <a:endParaRPr lang="en-US" sz="1100">
            <a:latin typeface="Arial" pitchFamily="34" charset="0"/>
            <a:cs typeface="Arial" pitchFamily="34" charset="0"/>
          </a:endParaRPr>
        </a:p>
      </xdr:txBody>
    </xdr:sp>
    <xdr:clientData fLocksWithSheet="0"/>
  </xdr:twoCellAnchor>
  <xdr:twoCellAnchor>
    <xdr:from>
      <xdr:col>7</xdr:col>
      <xdr:colOff>1708150</xdr:colOff>
      <xdr:row>16</xdr:row>
      <xdr:rowOff>28575</xdr:rowOff>
    </xdr:from>
    <xdr:to>
      <xdr:col>7</xdr:col>
      <xdr:colOff>2896870</xdr:colOff>
      <xdr:row>16</xdr:row>
      <xdr:rowOff>211455</xdr:rowOff>
    </xdr:to>
    <xdr:sp macro="[0]!TextBox30_Click" textlink="">
      <xdr:nvSpPr>
        <xdr:cNvPr id="31" name="TextBox 30">
          <a:extLst>
            <a:ext uri="{FF2B5EF4-FFF2-40B4-BE49-F238E27FC236}">
              <a16:creationId xmlns:a16="http://schemas.microsoft.com/office/drawing/2014/main" id="{00000000-0008-0000-0500-00001F000000}"/>
            </a:ext>
          </a:extLst>
        </xdr:cNvPr>
        <xdr:cNvSpPr txBox="1"/>
      </xdr:nvSpPr>
      <xdr:spPr>
        <a:xfrm>
          <a:off x="3621088" y="3005138"/>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 2 Mgt Info</a:t>
          </a:r>
        </a:p>
      </xdr:txBody>
    </xdr:sp>
    <xdr:clientData fLocksWithSheet="0"/>
  </xdr:twoCellAnchor>
  <xdr:twoCellAnchor>
    <xdr:from>
      <xdr:col>7</xdr:col>
      <xdr:colOff>1709738</xdr:colOff>
      <xdr:row>18</xdr:row>
      <xdr:rowOff>28575</xdr:rowOff>
    </xdr:from>
    <xdr:to>
      <xdr:col>7</xdr:col>
      <xdr:colOff>2898458</xdr:colOff>
      <xdr:row>18</xdr:row>
      <xdr:rowOff>211455</xdr:rowOff>
    </xdr:to>
    <xdr:sp macro="[0]!TextBox1183_Click" textlink="">
      <xdr:nvSpPr>
        <xdr:cNvPr id="1184" name="TextBox 1183">
          <a:extLst>
            <a:ext uri="{FF2B5EF4-FFF2-40B4-BE49-F238E27FC236}">
              <a16:creationId xmlns:a16="http://schemas.microsoft.com/office/drawing/2014/main" id="{00000000-0008-0000-0500-0000A0040000}"/>
            </a:ext>
          </a:extLst>
        </xdr:cNvPr>
        <xdr:cNvSpPr txBox="1"/>
      </xdr:nvSpPr>
      <xdr:spPr>
        <a:xfrm>
          <a:off x="3622676" y="3433763"/>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latin typeface="Arial" pitchFamily="34" charset="0"/>
              <a:cs typeface="Arial" pitchFamily="34" charset="0"/>
            </a:rPr>
            <a:t>Herd 3 Mgt Info</a:t>
          </a:r>
          <a:endParaRPr lang="en-US" sz="1100">
            <a:latin typeface="Arial" pitchFamily="34" charset="0"/>
            <a:cs typeface="Arial" pitchFamily="34" charset="0"/>
          </a:endParaRPr>
        </a:p>
      </xdr:txBody>
    </xdr:sp>
    <xdr:clientData fLocksWithSheet="0"/>
  </xdr:twoCellAnchor>
  <xdr:twoCellAnchor>
    <xdr:from>
      <xdr:col>7</xdr:col>
      <xdr:colOff>1716088</xdr:colOff>
      <xdr:row>20</xdr:row>
      <xdr:rowOff>28575</xdr:rowOff>
    </xdr:from>
    <xdr:to>
      <xdr:col>7</xdr:col>
      <xdr:colOff>2904808</xdr:colOff>
      <xdr:row>20</xdr:row>
      <xdr:rowOff>211455</xdr:rowOff>
    </xdr:to>
    <xdr:sp macro="[0]!TextBox1184_Click" textlink="">
      <xdr:nvSpPr>
        <xdr:cNvPr id="1185" name="TextBox 1184">
          <a:extLst>
            <a:ext uri="{FF2B5EF4-FFF2-40B4-BE49-F238E27FC236}">
              <a16:creationId xmlns:a16="http://schemas.microsoft.com/office/drawing/2014/main" id="{00000000-0008-0000-0500-0000A1040000}"/>
            </a:ext>
          </a:extLst>
        </xdr:cNvPr>
        <xdr:cNvSpPr txBox="1"/>
      </xdr:nvSpPr>
      <xdr:spPr>
        <a:xfrm>
          <a:off x="3629026" y="3862388"/>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 1 Mgt Info</a:t>
          </a:r>
        </a:p>
      </xdr:txBody>
    </xdr:sp>
    <xdr:clientData fLocksWithSheet="0"/>
  </xdr:twoCellAnchor>
  <xdr:twoCellAnchor>
    <xdr:from>
      <xdr:col>7</xdr:col>
      <xdr:colOff>1708150</xdr:colOff>
      <xdr:row>22</xdr:row>
      <xdr:rowOff>38100</xdr:rowOff>
    </xdr:from>
    <xdr:to>
      <xdr:col>7</xdr:col>
      <xdr:colOff>2896870</xdr:colOff>
      <xdr:row>22</xdr:row>
      <xdr:rowOff>220980</xdr:rowOff>
    </xdr:to>
    <xdr:sp macro="[0]!TextBox1185_Click" textlink="">
      <xdr:nvSpPr>
        <xdr:cNvPr id="1186" name="TextBox 1185">
          <a:extLst>
            <a:ext uri="{FF2B5EF4-FFF2-40B4-BE49-F238E27FC236}">
              <a16:creationId xmlns:a16="http://schemas.microsoft.com/office/drawing/2014/main" id="{00000000-0008-0000-0500-0000A2040000}"/>
            </a:ext>
          </a:extLst>
        </xdr:cNvPr>
        <xdr:cNvSpPr txBox="1"/>
      </xdr:nvSpPr>
      <xdr:spPr>
        <a:xfrm>
          <a:off x="3621088" y="4300538"/>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a:t>
          </a:r>
          <a:r>
            <a:rPr lang="en-US" sz="1100" baseline="0">
              <a:latin typeface="Arial" pitchFamily="34" charset="0"/>
              <a:cs typeface="Arial" pitchFamily="34" charset="0"/>
            </a:rPr>
            <a:t> 2 Mgt Info</a:t>
          </a:r>
          <a:endParaRPr lang="en-US" sz="1100">
            <a:latin typeface="Arial" pitchFamily="34" charset="0"/>
            <a:cs typeface="Arial" pitchFamily="34" charset="0"/>
          </a:endParaRPr>
        </a:p>
      </xdr:txBody>
    </xdr:sp>
    <xdr:clientData fLocksWithSheet="0"/>
  </xdr:twoCellAnchor>
  <xdr:twoCellAnchor>
    <xdr:from>
      <xdr:col>4</xdr:col>
      <xdr:colOff>268288</xdr:colOff>
      <xdr:row>213</xdr:row>
      <xdr:rowOff>0</xdr:rowOff>
    </xdr:from>
    <xdr:to>
      <xdr:col>5</xdr:col>
      <xdr:colOff>68263</xdr:colOff>
      <xdr:row>213</xdr:row>
      <xdr:rowOff>152400</xdr:rowOff>
    </xdr:to>
    <xdr:sp macro="[0]!TextBox79_Click" textlink="">
      <xdr:nvSpPr>
        <xdr:cNvPr id="80" name="TextBox 79" hidden="1">
          <a:extLst>
            <a:ext uri="{FF2B5EF4-FFF2-40B4-BE49-F238E27FC236}">
              <a16:creationId xmlns:a16="http://schemas.microsoft.com/office/drawing/2014/main" id="{00000000-0008-0000-0500-000050000000}"/>
            </a:ext>
          </a:extLst>
        </xdr:cNvPr>
        <xdr:cNvSpPr txBox="1"/>
      </xdr:nvSpPr>
      <xdr:spPr>
        <a:xfrm>
          <a:off x="439738" y="19450050"/>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83343</xdr:colOff>
      <xdr:row>212</xdr:row>
      <xdr:rowOff>5555</xdr:rowOff>
    </xdr:from>
    <xdr:to>
      <xdr:col>5</xdr:col>
      <xdr:colOff>311943</xdr:colOff>
      <xdr:row>212</xdr:row>
      <xdr:rowOff>157955</xdr:rowOff>
    </xdr:to>
    <xdr:sp macro="[0]!TextBox83_Click" textlink="">
      <xdr:nvSpPr>
        <xdr:cNvPr id="84" name="TextBox 83">
          <a:extLst>
            <a:ext uri="{FF2B5EF4-FFF2-40B4-BE49-F238E27FC236}">
              <a16:creationId xmlns:a16="http://schemas.microsoft.com/office/drawing/2014/main" id="{00000000-0008-0000-0500-000054000000}"/>
            </a:ext>
          </a:extLst>
        </xdr:cNvPr>
        <xdr:cNvSpPr txBox="1"/>
      </xdr:nvSpPr>
      <xdr:spPr>
        <a:xfrm>
          <a:off x="683418" y="19255580"/>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69851</xdr:colOff>
      <xdr:row>213</xdr:row>
      <xdr:rowOff>13493</xdr:rowOff>
    </xdr:from>
    <xdr:to>
      <xdr:col>5</xdr:col>
      <xdr:colOff>298451</xdr:colOff>
      <xdr:row>213</xdr:row>
      <xdr:rowOff>165893</xdr:rowOff>
    </xdr:to>
    <xdr:sp macro="[0]!TextBox84_Click" textlink="">
      <xdr:nvSpPr>
        <xdr:cNvPr id="85" name="TextBox 84" hidden="1">
          <a:extLst>
            <a:ext uri="{FF2B5EF4-FFF2-40B4-BE49-F238E27FC236}">
              <a16:creationId xmlns:a16="http://schemas.microsoft.com/office/drawing/2014/main" id="{00000000-0008-0000-0500-000055000000}"/>
            </a:ext>
          </a:extLst>
        </xdr:cNvPr>
        <xdr:cNvSpPr txBox="1"/>
      </xdr:nvSpPr>
      <xdr:spPr>
        <a:xfrm>
          <a:off x="669926" y="19463543"/>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272256</xdr:colOff>
      <xdr:row>214</xdr:row>
      <xdr:rowOff>1587</xdr:rowOff>
    </xdr:from>
    <xdr:to>
      <xdr:col>5</xdr:col>
      <xdr:colOff>72231</xdr:colOff>
      <xdr:row>214</xdr:row>
      <xdr:rowOff>163512</xdr:rowOff>
    </xdr:to>
    <xdr:sp macro="[0]!TextBox85_Click" textlink="">
      <xdr:nvSpPr>
        <xdr:cNvPr id="86" name="TextBox 85" hidden="1">
          <a:extLst>
            <a:ext uri="{FF2B5EF4-FFF2-40B4-BE49-F238E27FC236}">
              <a16:creationId xmlns:a16="http://schemas.microsoft.com/office/drawing/2014/main" id="{00000000-0008-0000-0500-000056000000}"/>
            </a:ext>
          </a:extLst>
        </xdr:cNvPr>
        <xdr:cNvSpPr txBox="1"/>
      </xdr:nvSpPr>
      <xdr:spPr>
        <a:xfrm>
          <a:off x="443706" y="19651662"/>
          <a:ext cx="2286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73818</xdr:colOff>
      <xdr:row>214</xdr:row>
      <xdr:rowOff>1587</xdr:rowOff>
    </xdr:from>
    <xdr:to>
      <xdr:col>5</xdr:col>
      <xdr:colOff>300037</xdr:colOff>
      <xdr:row>214</xdr:row>
      <xdr:rowOff>163512</xdr:rowOff>
    </xdr:to>
    <xdr:sp macro="[0]!TextBox89_Click" textlink="">
      <xdr:nvSpPr>
        <xdr:cNvPr id="90" name="TextBox 89" hidden="1">
          <a:extLst>
            <a:ext uri="{FF2B5EF4-FFF2-40B4-BE49-F238E27FC236}">
              <a16:creationId xmlns:a16="http://schemas.microsoft.com/office/drawing/2014/main" id="{00000000-0008-0000-0500-00005A000000}"/>
            </a:ext>
          </a:extLst>
        </xdr:cNvPr>
        <xdr:cNvSpPr txBox="1"/>
      </xdr:nvSpPr>
      <xdr:spPr>
        <a:xfrm>
          <a:off x="673893" y="19651662"/>
          <a:ext cx="226219"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Black" pitchFamily="34" charset="0"/>
            </a:rPr>
            <a:t>+</a:t>
          </a:r>
        </a:p>
      </xdr:txBody>
    </xdr:sp>
    <xdr:clientData/>
  </xdr:twoCellAnchor>
  <xdr:twoCellAnchor>
    <xdr:from>
      <xdr:col>4</xdr:col>
      <xdr:colOff>264318</xdr:colOff>
      <xdr:row>215</xdr:row>
      <xdr:rowOff>5556</xdr:rowOff>
    </xdr:from>
    <xdr:to>
      <xdr:col>5</xdr:col>
      <xdr:colOff>64293</xdr:colOff>
      <xdr:row>215</xdr:row>
      <xdr:rowOff>165893</xdr:rowOff>
    </xdr:to>
    <xdr:sp macro="[0]!TextBox90_Click" textlink="">
      <xdr:nvSpPr>
        <xdr:cNvPr id="91" name="TextBox 90" hidden="1">
          <a:extLst>
            <a:ext uri="{FF2B5EF4-FFF2-40B4-BE49-F238E27FC236}">
              <a16:creationId xmlns:a16="http://schemas.microsoft.com/office/drawing/2014/main" id="{00000000-0008-0000-0500-00005B000000}"/>
            </a:ext>
          </a:extLst>
        </xdr:cNvPr>
        <xdr:cNvSpPr txBox="1"/>
      </xdr:nvSpPr>
      <xdr:spPr>
        <a:xfrm>
          <a:off x="435768" y="19855656"/>
          <a:ext cx="228600" cy="160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79374</xdr:colOff>
      <xdr:row>215</xdr:row>
      <xdr:rowOff>5557</xdr:rowOff>
    </xdr:from>
    <xdr:to>
      <xdr:col>5</xdr:col>
      <xdr:colOff>307974</xdr:colOff>
      <xdr:row>215</xdr:row>
      <xdr:rowOff>165894</xdr:rowOff>
    </xdr:to>
    <xdr:sp macro="[0]!TextBox91_Click" textlink="">
      <xdr:nvSpPr>
        <xdr:cNvPr id="92" name="TextBox 91" hidden="1">
          <a:extLst>
            <a:ext uri="{FF2B5EF4-FFF2-40B4-BE49-F238E27FC236}">
              <a16:creationId xmlns:a16="http://schemas.microsoft.com/office/drawing/2014/main" id="{00000000-0008-0000-0500-00005C000000}"/>
            </a:ext>
          </a:extLst>
        </xdr:cNvPr>
        <xdr:cNvSpPr txBox="1"/>
      </xdr:nvSpPr>
      <xdr:spPr>
        <a:xfrm>
          <a:off x="679449" y="19855657"/>
          <a:ext cx="228600" cy="160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277812</xdr:colOff>
      <xdr:row>215</xdr:row>
      <xdr:rowOff>193675</xdr:rowOff>
    </xdr:from>
    <xdr:to>
      <xdr:col>5</xdr:col>
      <xdr:colOff>77787</xdr:colOff>
      <xdr:row>216</xdr:row>
      <xdr:rowOff>163513</xdr:rowOff>
    </xdr:to>
    <xdr:sp macro="[0]!TextBox93_Click" textlink="">
      <xdr:nvSpPr>
        <xdr:cNvPr id="94" name="TextBox 93" hidden="1">
          <a:extLst>
            <a:ext uri="{FF2B5EF4-FFF2-40B4-BE49-F238E27FC236}">
              <a16:creationId xmlns:a16="http://schemas.microsoft.com/office/drawing/2014/main" id="{00000000-0008-0000-0500-00005E000000}"/>
            </a:ext>
          </a:extLst>
        </xdr:cNvPr>
        <xdr:cNvSpPr txBox="1"/>
      </xdr:nvSpPr>
      <xdr:spPr>
        <a:xfrm>
          <a:off x="449262" y="20043775"/>
          <a:ext cx="228600" cy="169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83343</xdr:colOff>
      <xdr:row>215</xdr:row>
      <xdr:rowOff>196055</xdr:rowOff>
    </xdr:from>
    <xdr:to>
      <xdr:col>5</xdr:col>
      <xdr:colOff>311943</xdr:colOff>
      <xdr:row>216</xdr:row>
      <xdr:rowOff>156368</xdr:rowOff>
    </xdr:to>
    <xdr:sp macro="[0]!TextBox1215_Click" textlink="">
      <xdr:nvSpPr>
        <xdr:cNvPr id="1216" name="TextBox 1215" hidden="1">
          <a:extLst>
            <a:ext uri="{FF2B5EF4-FFF2-40B4-BE49-F238E27FC236}">
              <a16:creationId xmlns:a16="http://schemas.microsoft.com/office/drawing/2014/main" id="{00000000-0008-0000-0500-0000C0040000}"/>
            </a:ext>
          </a:extLst>
        </xdr:cNvPr>
        <xdr:cNvSpPr txBox="1"/>
      </xdr:nvSpPr>
      <xdr:spPr>
        <a:xfrm>
          <a:off x="683418" y="20046155"/>
          <a:ext cx="228600" cy="16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262730</xdr:colOff>
      <xdr:row>217</xdr:row>
      <xdr:rowOff>5557</xdr:rowOff>
    </xdr:from>
    <xdr:to>
      <xdr:col>5</xdr:col>
      <xdr:colOff>62705</xdr:colOff>
      <xdr:row>217</xdr:row>
      <xdr:rowOff>163513</xdr:rowOff>
    </xdr:to>
    <xdr:sp macro="[0]!TextBox1216_Click" textlink="">
      <xdr:nvSpPr>
        <xdr:cNvPr id="1217" name="TextBox 1216" hidden="1">
          <a:extLst>
            <a:ext uri="{FF2B5EF4-FFF2-40B4-BE49-F238E27FC236}">
              <a16:creationId xmlns:a16="http://schemas.microsoft.com/office/drawing/2014/main" id="{00000000-0008-0000-0500-0000C1040000}"/>
            </a:ext>
          </a:extLst>
        </xdr:cNvPr>
        <xdr:cNvSpPr txBox="1"/>
      </xdr:nvSpPr>
      <xdr:spPr>
        <a:xfrm>
          <a:off x="434180" y="20255707"/>
          <a:ext cx="228600" cy="157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69850</xdr:colOff>
      <xdr:row>217</xdr:row>
      <xdr:rowOff>9526</xdr:rowOff>
    </xdr:from>
    <xdr:to>
      <xdr:col>5</xdr:col>
      <xdr:colOff>298450</xdr:colOff>
      <xdr:row>217</xdr:row>
      <xdr:rowOff>159544</xdr:rowOff>
    </xdr:to>
    <xdr:sp macro="[0]!TextBox1217_Click" textlink="">
      <xdr:nvSpPr>
        <xdr:cNvPr id="1218" name="TextBox 1217" hidden="1">
          <a:extLst>
            <a:ext uri="{FF2B5EF4-FFF2-40B4-BE49-F238E27FC236}">
              <a16:creationId xmlns:a16="http://schemas.microsoft.com/office/drawing/2014/main" id="{00000000-0008-0000-0500-0000C2040000}"/>
            </a:ext>
          </a:extLst>
        </xdr:cNvPr>
        <xdr:cNvSpPr txBox="1"/>
      </xdr:nvSpPr>
      <xdr:spPr>
        <a:xfrm>
          <a:off x="669925" y="20259676"/>
          <a:ext cx="228600" cy="15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277812</xdr:colOff>
      <xdr:row>218</xdr:row>
      <xdr:rowOff>5556</xdr:rowOff>
    </xdr:from>
    <xdr:to>
      <xdr:col>5</xdr:col>
      <xdr:colOff>77787</xdr:colOff>
      <xdr:row>218</xdr:row>
      <xdr:rowOff>165894</xdr:rowOff>
    </xdr:to>
    <xdr:sp macro="[0]!TextBox1218_Click" textlink="">
      <xdr:nvSpPr>
        <xdr:cNvPr id="1219" name="TextBox 1218" hidden="1">
          <a:extLst>
            <a:ext uri="{FF2B5EF4-FFF2-40B4-BE49-F238E27FC236}">
              <a16:creationId xmlns:a16="http://schemas.microsoft.com/office/drawing/2014/main" id="{00000000-0008-0000-0500-0000C3040000}"/>
            </a:ext>
          </a:extLst>
        </xdr:cNvPr>
        <xdr:cNvSpPr txBox="1"/>
      </xdr:nvSpPr>
      <xdr:spPr>
        <a:xfrm>
          <a:off x="449262" y="20455731"/>
          <a:ext cx="228600" cy="16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79375</xdr:colOff>
      <xdr:row>218</xdr:row>
      <xdr:rowOff>1587</xdr:rowOff>
    </xdr:from>
    <xdr:to>
      <xdr:col>5</xdr:col>
      <xdr:colOff>307975</xdr:colOff>
      <xdr:row>218</xdr:row>
      <xdr:rowOff>163512</xdr:rowOff>
    </xdr:to>
    <xdr:sp macro="[0]!TextBox1219_Click" textlink="">
      <xdr:nvSpPr>
        <xdr:cNvPr id="1220" name="TextBox 1219" hidden="1">
          <a:extLst>
            <a:ext uri="{FF2B5EF4-FFF2-40B4-BE49-F238E27FC236}">
              <a16:creationId xmlns:a16="http://schemas.microsoft.com/office/drawing/2014/main" id="{00000000-0008-0000-0500-0000C4040000}"/>
            </a:ext>
          </a:extLst>
        </xdr:cNvPr>
        <xdr:cNvSpPr txBox="1"/>
      </xdr:nvSpPr>
      <xdr:spPr>
        <a:xfrm>
          <a:off x="679450" y="20451762"/>
          <a:ext cx="2286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273843</xdr:colOff>
      <xdr:row>218</xdr:row>
      <xdr:rowOff>193676</xdr:rowOff>
    </xdr:from>
    <xdr:to>
      <xdr:col>5</xdr:col>
      <xdr:colOff>73818</xdr:colOff>
      <xdr:row>219</xdr:row>
      <xdr:rowOff>165101</xdr:rowOff>
    </xdr:to>
    <xdr:sp macro="[0]!TextBox1220_Click" textlink="">
      <xdr:nvSpPr>
        <xdr:cNvPr id="1221" name="TextBox 1220" hidden="1">
          <a:extLst>
            <a:ext uri="{FF2B5EF4-FFF2-40B4-BE49-F238E27FC236}">
              <a16:creationId xmlns:a16="http://schemas.microsoft.com/office/drawing/2014/main" id="{00000000-0008-0000-0500-0000C5040000}"/>
            </a:ext>
          </a:extLst>
        </xdr:cNvPr>
        <xdr:cNvSpPr txBox="1"/>
      </xdr:nvSpPr>
      <xdr:spPr>
        <a:xfrm>
          <a:off x="445293" y="20643851"/>
          <a:ext cx="2286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83343</xdr:colOff>
      <xdr:row>218</xdr:row>
      <xdr:rowOff>197643</xdr:rowOff>
    </xdr:from>
    <xdr:to>
      <xdr:col>5</xdr:col>
      <xdr:colOff>311943</xdr:colOff>
      <xdr:row>219</xdr:row>
      <xdr:rowOff>159543</xdr:rowOff>
    </xdr:to>
    <xdr:sp macro="[0]!TextBox1221_Click" textlink="">
      <xdr:nvSpPr>
        <xdr:cNvPr id="1222" name="TextBox 1221" hidden="1">
          <a:extLst>
            <a:ext uri="{FF2B5EF4-FFF2-40B4-BE49-F238E27FC236}">
              <a16:creationId xmlns:a16="http://schemas.microsoft.com/office/drawing/2014/main" id="{00000000-0008-0000-0500-0000C6040000}"/>
            </a:ext>
          </a:extLst>
        </xdr:cNvPr>
        <xdr:cNvSpPr txBox="1"/>
      </xdr:nvSpPr>
      <xdr:spPr>
        <a:xfrm>
          <a:off x="683418" y="20647818"/>
          <a:ext cx="2286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280193</xdr:colOff>
      <xdr:row>220</xdr:row>
      <xdr:rowOff>9525</xdr:rowOff>
    </xdr:from>
    <xdr:to>
      <xdr:col>5</xdr:col>
      <xdr:colOff>80168</xdr:colOff>
      <xdr:row>220</xdr:row>
      <xdr:rowOff>161925</xdr:rowOff>
    </xdr:to>
    <xdr:sp macro="[0]!TextBox1222_Click" textlink="">
      <xdr:nvSpPr>
        <xdr:cNvPr id="1223" name="TextBox 1222" hidden="1">
          <a:extLst>
            <a:ext uri="{FF2B5EF4-FFF2-40B4-BE49-F238E27FC236}">
              <a16:creationId xmlns:a16="http://schemas.microsoft.com/office/drawing/2014/main" id="{00000000-0008-0000-0500-0000C7040000}"/>
            </a:ext>
          </a:extLst>
        </xdr:cNvPr>
        <xdr:cNvSpPr txBox="1"/>
      </xdr:nvSpPr>
      <xdr:spPr>
        <a:xfrm>
          <a:off x="451643" y="20859750"/>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87312</xdr:colOff>
      <xdr:row>220</xdr:row>
      <xdr:rowOff>13493</xdr:rowOff>
    </xdr:from>
    <xdr:to>
      <xdr:col>5</xdr:col>
      <xdr:colOff>315912</xdr:colOff>
      <xdr:row>220</xdr:row>
      <xdr:rowOff>165893</xdr:rowOff>
    </xdr:to>
    <xdr:sp macro="[0]!TextBox1223_Click" textlink="">
      <xdr:nvSpPr>
        <xdr:cNvPr id="1224" name="TextBox 1223" hidden="1">
          <a:extLst>
            <a:ext uri="{FF2B5EF4-FFF2-40B4-BE49-F238E27FC236}">
              <a16:creationId xmlns:a16="http://schemas.microsoft.com/office/drawing/2014/main" id="{00000000-0008-0000-0500-0000C8040000}"/>
            </a:ext>
          </a:extLst>
        </xdr:cNvPr>
        <xdr:cNvSpPr txBox="1"/>
      </xdr:nvSpPr>
      <xdr:spPr>
        <a:xfrm>
          <a:off x="687387" y="20863718"/>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277812</xdr:colOff>
      <xdr:row>221</xdr:row>
      <xdr:rowOff>26988</xdr:rowOff>
    </xdr:from>
    <xdr:to>
      <xdr:col>5</xdr:col>
      <xdr:colOff>77787</xdr:colOff>
      <xdr:row>221</xdr:row>
      <xdr:rowOff>169863</xdr:rowOff>
    </xdr:to>
    <xdr:sp macro="[0]!TextBox1224_Click" textlink="">
      <xdr:nvSpPr>
        <xdr:cNvPr id="1225" name="TextBox 1224" hidden="1">
          <a:extLst>
            <a:ext uri="{FF2B5EF4-FFF2-40B4-BE49-F238E27FC236}">
              <a16:creationId xmlns:a16="http://schemas.microsoft.com/office/drawing/2014/main" id="{00000000-0008-0000-0500-0000C9040000}"/>
            </a:ext>
          </a:extLst>
        </xdr:cNvPr>
        <xdr:cNvSpPr txBox="1"/>
      </xdr:nvSpPr>
      <xdr:spPr>
        <a:xfrm>
          <a:off x="449262" y="21077238"/>
          <a:ext cx="228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7</xdr:col>
      <xdr:colOff>1714500</xdr:colOff>
      <xdr:row>24</xdr:row>
      <xdr:rowOff>31749</xdr:rowOff>
    </xdr:from>
    <xdr:to>
      <xdr:col>7</xdr:col>
      <xdr:colOff>2903220</xdr:colOff>
      <xdr:row>24</xdr:row>
      <xdr:rowOff>214629</xdr:rowOff>
    </xdr:to>
    <xdr:sp macro="[0]!TextBox69_Click" textlink="">
      <xdr:nvSpPr>
        <xdr:cNvPr id="70" name="TextBox 69">
          <a:extLst>
            <a:ext uri="{FF2B5EF4-FFF2-40B4-BE49-F238E27FC236}">
              <a16:creationId xmlns:a16="http://schemas.microsoft.com/office/drawing/2014/main" id="{00000000-0008-0000-0500-000046000000}"/>
            </a:ext>
          </a:extLst>
        </xdr:cNvPr>
        <xdr:cNvSpPr txBox="1"/>
      </xdr:nvSpPr>
      <xdr:spPr>
        <a:xfrm>
          <a:off x="3376083" y="4847166"/>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Dairy Mgt Info</a:t>
          </a:r>
        </a:p>
      </xdr:txBody>
    </xdr:sp>
    <xdr:clientData fLocksWithSheet="0"/>
  </xdr:twoCellAnchor>
  <xdr:twoCellAnchor>
    <xdr:from>
      <xdr:col>7</xdr:col>
      <xdr:colOff>1545166</xdr:colOff>
      <xdr:row>30</xdr:row>
      <xdr:rowOff>31751</xdr:rowOff>
    </xdr:from>
    <xdr:to>
      <xdr:col>7</xdr:col>
      <xdr:colOff>2916766</xdr:colOff>
      <xdr:row>30</xdr:row>
      <xdr:rowOff>214631</xdr:rowOff>
    </xdr:to>
    <xdr:sp macro="[0]!TextBox70_Click" textlink="">
      <xdr:nvSpPr>
        <xdr:cNvPr id="71" name="TextBox 70">
          <a:extLst>
            <a:ext uri="{FF2B5EF4-FFF2-40B4-BE49-F238E27FC236}">
              <a16:creationId xmlns:a16="http://schemas.microsoft.com/office/drawing/2014/main" id="{00000000-0008-0000-0500-000047000000}"/>
            </a:ext>
          </a:extLst>
        </xdr:cNvPr>
        <xdr:cNvSpPr txBox="1"/>
      </xdr:nvSpPr>
      <xdr:spPr>
        <a:xfrm>
          <a:off x="3206749" y="7704668"/>
          <a:ext cx="137160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Dry Herd Mgt Info</a:t>
          </a:r>
        </a:p>
      </xdr:txBody>
    </xdr:sp>
    <xdr:clientData fLocksWithSheet="0"/>
  </xdr:twoCellAnchor>
  <xdr:twoCellAnchor>
    <xdr:from>
      <xdr:col>10</xdr:col>
      <xdr:colOff>177800</xdr:colOff>
      <xdr:row>152</xdr:row>
      <xdr:rowOff>177800</xdr:rowOff>
    </xdr:from>
    <xdr:to>
      <xdr:col>11</xdr:col>
      <xdr:colOff>546100</xdr:colOff>
      <xdr:row>152</xdr:row>
      <xdr:rowOff>177800</xdr:rowOff>
    </xdr:to>
    <xdr:sp macro="" textlink="">
      <xdr:nvSpPr>
        <xdr:cNvPr id="1256" name="CheckBox13" hidden="1">
          <a:extLst>
            <a:ext uri="{63B3BB69-23CF-44E3-9099-C40C66FF867C}">
              <a14:compatExt xmlns:a14="http://schemas.microsoft.com/office/drawing/2010/main" spid="_x0000_s1256"/>
            </a:ext>
            <a:ext uri="{FF2B5EF4-FFF2-40B4-BE49-F238E27FC236}">
              <a16:creationId xmlns:a16="http://schemas.microsoft.com/office/drawing/2014/main" id="{00000000-0008-0000-0500-0000E8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152400</xdr:colOff>
      <xdr:row>152</xdr:row>
      <xdr:rowOff>177800</xdr:rowOff>
    </xdr:from>
    <xdr:to>
      <xdr:col>11</xdr:col>
      <xdr:colOff>482600</xdr:colOff>
      <xdr:row>152</xdr:row>
      <xdr:rowOff>177800</xdr:rowOff>
    </xdr:to>
    <xdr:sp macro="" textlink="">
      <xdr:nvSpPr>
        <xdr:cNvPr id="1258" name="CheckBox14" hidden="1">
          <a:extLst>
            <a:ext uri="{63B3BB69-23CF-44E3-9099-C40C66FF867C}">
              <a14:compatExt xmlns:a14="http://schemas.microsoft.com/office/drawing/2010/main" spid="_x0000_s1258"/>
            </a:ext>
            <a:ext uri="{FF2B5EF4-FFF2-40B4-BE49-F238E27FC236}">
              <a16:creationId xmlns:a16="http://schemas.microsoft.com/office/drawing/2014/main" id="{00000000-0008-0000-0500-0000EA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1513418</xdr:colOff>
      <xdr:row>28</xdr:row>
      <xdr:rowOff>31751</xdr:rowOff>
    </xdr:from>
    <xdr:to>
      <xdr:col>7</xdr:col>
      <xdr:colOff>2885018</xdr:colOff>
      <xdr:row>28</xdr:row>
      <xdr:rowOff>214631</xdr:rowOff>
    </xdr:to>
    <xdr:sp macro="[0]!step_1_Balance_Worksheet_TextBox1188_Click" textlink="">
      <xdr:nvSpPr>
        <xdr:cNvPr id="1189" name="TextBox 1188">
          <a:extLst>
            <a:ext uri="{FF2B5EF4-FFF2-40B4-BE49-F238E27FC236}">
              <a16:creationId xmlns:a16="http://schemas.microsoft.com/office/drawing/2014/main" id="{00000000-0008-0000-0500-0000A5040000}"/>
            </a:ext>
          </a:extLst>
        </xdr:cNvPr>
        <xdr:cNvSpPr txBox="1"/>
      </xdr:nvSpPr>
      <xdr:spPr>
        <a:xfrm>
          <a:off x="3175001" y="7281334"/>
          <a:ext cx="137160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Lactating</a:t>
          </a:r>
          <a:r>
            <a:rPr lang="en-US" sz="1100" baseline="0">
              <a:latin typeface="Arial" pitchFamily="34" charset="0"/>
              <a:cs typeface="Arial" pitchFamily="34" charset="0"/>
            </a:rPr>
            <a:t> Herd Mgt</a:t>
          </a:r>
        </a:p>
      </xdr:txBody>
    </xdr:sp>
    <xdr:clientData fLocksWithSheet="0"/>
  </xdr:twoCellAnchor>
  <xdr:twoCellAnchor>
    <xdr:from>
      <xdr:col>7</xdr:col>
      <xdr:colOff>1725085</xdr:colOff>
      <xdr:row>32</xdr:row>
      <xdr:rowOff>42332</xdr:rowOff>
    </xdr:from>
    <xdr:to>
      <xdr:col>7</xdr:col>
      <xdr:colOff>2913805</xdr:colOff>
      <xdr:row>32</xdr:row>
      <xdr:rowOff>225212</xdr:rowOff>
    </xdr:to>
    <xdr:sp macro="[0]!step_1_Balance_Worksheet_TextBox1191_Click" textlink="">
      <xdr:nvSpPr>
        <xdr:cNvPr id="1192" name="TextBox 1191">
          <a:extLst>
            <a:ext uri="{FF2B5EF4-FFF2-40B4-BE49-F238E27FC236}">
              <a16:creationId xmlns:a16="http://schemas.microsoft.com/office/drawing/2014/main" id="{00000000-0008-0000-0500-0000A8040000}"/>
            </a:ext>
          </a:extLst>
        </xdr:cNvPr>
        <xdr:cNvSpPr txBox="1"/>
      </xdr:nvSpPr>
      <xdr:spPr>
        <a:xfrm>
          <a:off x="3386668" y="8138582"/>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Bull Mgt Info</a:t>
          </a:r>
        </a:p>
      </xdr:txBody>
    </xdr:sp>
    <xdr:clientData fLocksWithSheet="0"/>
  </xdr:twoCellAnchor>
  <xdr:twoCellAnchor>
    <xdr:from>
      <xdr:col>7</xdr:col>
      <xdr:colOff>1703915</xdr:colOff>
      <xdr:row>34</xdr:row>
      <xdr:rowOff>31749</xdr:rowOff>
    </xdr:from>
    <xdr:to>
      <xdr:col>7</xdr:col>
      <xdr:colOff>2892635</xdr:colOff>
      <xdr:row>34</xdr:row>
      <xdr:rowOff>214629</xdr:rowOff>
    </xdr:to>
    <xdr:sp macro="[0]!step_1_Balance_Worksheet_TextBox63_Click" textlink="">
      <xdr:nvSpPr>
        <xdr:cNvPr id="64" name="TextBox 63">
          <a:extLst>
            <a:ext uri="{FF2B5EF4-FFF2-40B4-BE49-F238E27FC236}">
              <a16:creationId xmlns:a16="http://schemas.microsoft.com/office/drawing/2014/main" id="{00000000-0008-0000-0500-000040000000}"/>
            </a:ext>
          </a:extLst>
        </xdr:cNvPr>
        <xdr:cNvSpPr txBox="1"/>
      </xdr:nvSpPr>
      <xdr:spPr>
        <a:xfrm>
          <a:off x="3365498" y="8551332"/>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Horses Mgt Info</a:t>
          </a:r>
        </a:p>
      </xdr:txBody>
    </xdr:sp>
    <xdr:clientData fLocksWithSheet="0"/>
  </xdr:twoCellAnchor>
  <xdr:twoCellAnchor>
    <xdr:from>
      <xdr:col>5</xdr:col>
      <xdr:colOff>0</xdr:colOff>
      <xdr:row>197</xdr:row>
      <xdr:rowOff>296333</xdr:rowOff>
    </xdr:from>
    <xdr:to>
      <xdr:col>5</xdr:col>
      <xdr:colOff>275167</xdr:colOff>
      <xdr:row>198</xdr:row>
      <xdr:rowOff>173566</xdr:rowOff>
    </xdr:to>
    <xdr:sp macro="[0]!TextBox108_Click" textlink="">
      <xdr:nvSpPr>
        <xdr:cNvPr id="109" name="TextBox 108">
          <a:extLst>
            <a:ext uri="{FF2B5EF4-FFF2-40B4-BE49-F238E27FC236}">
              <a16:creationId xmlns:a16="http://schemas.microsoft.com/office/drawing/2014/main" id="{00000000-0008-0000-0500-00006D000000}"/>
            </a:ext>
          </a:extLst>
        </xdr:cNvPr>
        <xdr:cNvSpPr txBox="1"/>
      </xdr:nvSpPr>
      <xdr:spPr>
        <a:xfrm>
          <a:off x="600075" y="16422158"/>
          <a:ext cx="275167" cy="191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10583</xdr:colOff>
      <xdr:row>198</xdr:row>
      <xdr:rowOff>172508</xdr:rowOff>
    </xdr:from>
    <xdr:to>
      <xdr:col>5</xdr:col>
      <xdr:colOff>285750</xdr:colOff>
      <xdr:row>199</xdr:row>
      <xdr:rowOff>164041</xdr:rowOff>
    </xdr:to>
    <xdr:sp macro="[0]!TextBox109_Click" textlink="">
      <xdr:nvSpPr>
        <xdr:cNvPr id="110" name="TextBox 109" hidden="1">
          <a:extLst>
            <a:ext uri="{FF2B5EF4-FFF2-40B4-BE49-F238E27FC236}">
              <a16:creationId xmlns:a16="http://schemas.microsoft.com/office/drawing/2014/main" id="{00000000-0008-0000-0500-00006E000000}"/>
            </a:ext>
          </a:extLst>
        </xdr:cNvPr>
        <xdr:cNvSpPr txBox="1"/>
      </xdr:nvSpPr>
      <xdr:spPr>
        <a:xfrm>
          <a:off x="610658" y="16612658"/>
          <a:ext cx="275167" cy="191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419100</xdr:colOff>
      <xdr:row>200</xdr:row>
      <xdr:rowOff>3175</xdr:rowOff>
    </xdr:from>
    <xdr:to>
      <xdr:col>5</xdr:col>
      <xdr:colOff>265642</xdr:colOff>
      <xdr:row>200</xdr:row>
      <xdr:rowOff>171450</xdr:rowOff>
    </xdr:to>
    <xdr:sp macro="[0]!TextBox110_Click" textlink="">
      <xdr:nvSpPr>
        <xdr:cNvPr id="111" name="TextBox 110">
          <a:extLst>
            <a:ext uri="{FF2B5EF4-FFF2-40B4-BE49-F238E27FC236}">
              <a16:creationId xmlns:a16="http://schemas.microsoft.com/office/drawing/2014/main" id="{00000000-0008-0000-0500-00006F000000}"/>
            </a:ext>
          </a:extLst>
        </xdr:cNvPr>
        <xdr:cNvSpPr txBox="1"/>
      </xdr:nvSpPr>
      <xdr:spPr>
        <a:xfrm>
          <a:off x="590550" y="16843375"/>
          <a:ext cx="275167" cy="168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10582</xdr:colOff>
      <xdr:row>201</xdr:row>
      <xdr:rowOff>13758</xdr:rowOff>
    </xdr:from>
    <xdr:to>
      <xdr:col>5</xdr:col>
      <xdr:colOff>285749</xdr:colOff>
      <xdr:row>201</xdr:row>
      <xdr:rowOff>171450</xdr:rowOff>
    </xdr:to>
    <xdr:sp macro="[0]!TextBox111_Click" textlink="">
      <xdr:nvSpPr>
        <xdr:cNvPr id="112" name="TextBox 111" hidden="1">
          <a:extLst>
            <a:ext uri="{FF2B5EF4-FFF2-40B4-BE49-F238E27FC236}">
              <a16:creationId xmlns:a16="http://schemas.microsoft.com/office/drawing/2014/main" id="{00000000-0008-0000-0500-000070000000}"/>
            </a:ext>
          </a:extLst>
        </xdr:cNvPr>
        <xdr:cNvSpPr txBox="1"/>
      </xdr:nvSpPr>
      <xdr:spPr>
        <a:xfrm>
          <a:off x="610657" y="17053983"/>
          <a:ext cx="275167" cy="157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0</xdr:colOff>
      <xdr:row>201</xdr:row>
      <xdr:rowOff>195791</xdr:rowOff>
    </xdr:from>
    <xdr:to>
      <xdr:col>5</xdr:col>
      <xdr:colOff>275167</xdr:colOff>
      <xdr:row>202</xdr:row>
      <xdr:rowOff>142875</xdr:rowOff>
    </xdr:to>
    <xdr:sp macro="[0]!TextBox112_Click" textlink="">
      <xdr:nvSpPr>
        <xdr:cNvPr id="113" name="TextBox 112" hidden="1">
          <a:extLst>
            <a:ext uri="{FF2B5EF4-FFF2-40B4-BE49-F238E27FC236}">
              <a16:creationId xmlns:a16="http://schemas.microsoft.com/office/drawing/2014/main" id="{00000000-0008-0000-0500-000071000000}"/>
            </a:ext>
          </a:extLst>
        </xdr:cNvPr>
        <xdr:cNvSpPr txBox="1"/>
      </xdr:nvSpPr>
      <xdr:spPr>
        <a:xfrm>
          <a:off x="600075" y="17236016"/>
          <a:ext cx="275167" cy="147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168274</xdr:colOff>
      <xdr:row>202</xdr:row>
      <xdr:rowOff>182034</xdr:rowOff>
    </xdr:from>
    <xdr:to>
      <xdr:col>5</xdr:col>
      <xdr:colOff>5291</xdr:colOff>
      <xdr:row>203</xdr:row>
      <xdr:rowOff>173567</xdr:rowOff>
    </xdr:to>
    <xdr:sp macro="[0]!TextBox113_Click" textlink="">
      <xdr:nvSpPr>
        <xdr:cNvPr id="114" name="TextBox 113">
          <a:extLst>
            <a:ext uri="{FF2B5EF4-FFF2-40B4-BE49-F238E27FC236}">
              <a16:creationId xmlns:a16="http://schemas.microsoft.com/office/drawing/2014/main" id="{00000000-0008-0000-0500-000072000000}"/>
            </a:ext>
          </a:extLst>
        </xdr:cNvPr>
        <xdr:cNvSpPr txBox="1"/>
      </xdr:nvSpPr>
      <xdr:spPr>
        <a:xfrm>
          <a:off x="339724" y="17422284"/>
          <a:ext cx="265642" cy="191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168275</xdr:colOff>
      <xdr:row>201</xdr:row>
      <xdr:rowOff>174625</xdr:rowOff>
    </xdr:from>
    <xdr:to>
      <xdr:col>5</xdr:col>
      <xdr:colOff>9525</xdr:colOff>
      <xdr:row>202</xdr:row>
      <xdr:rowOff>142875</xdr:rowOff>
    </xdr:to>
    <xdr:sp macro="[0]!TextBox114_Click" textlink="">
      <xdr:nvSpPr>
        <xdr:cNvPr id="115" name="TextBox 114" hidden="1">
          <a:extLst>
            <a:ext uri="{FF2B5EF4-FFF2-40B4-BE49-F238E27FC236}">
              <a16:creationId xmlns:a16="http://schemas.microsoft.com/office/drawing/2014/main" id="{00000000-0008-0000-0500-000073000000}"/>
            </a:ext>
          </a:extLst>
        </xdr:cNvPr>
        <xdr:cNvSpPr txBox="1"/>
      </xdr:nvSpPr>
      <xdr:spPr>
        <a:xfrm>
          <a:off x="339725" y="17214850"/>
          <a:ext cx="269875" cy="168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148167</xdr:colOff>
      <xdr:row>201</xdr:row>
      <xdr:rowOff>3174</xdr:rowOff>
    </xdr:from>
    <xdr:to>
      <xdr:col>4</xdr:col>
      <xdr:colOff>423334</xdr:colOff>
      <xdr:row>201</xdr:row>
      <xdr:rowOff>171450</xdr:rowOff>
    </xdr:to>
    <xdr:sp macro="[0]!TextBox115_Click" textlink="">
      <xdr:nvSpPr>
        <xdr:cNvPr id="116" name="TextBox 115" hidden="1">
          <a:extLst>
            <a:ext uri="{FF2B5EF4-FFF2-40B4-BE49-F238E27FC236}">
              <a16:creationId xmlns:a16="http://schemas.microsoft.com/office/drawing/2014/main" id="{00000000-0008-0000-0500-000074000000}"/>
            </a:ext>
          </a:extLst>
        </xdr:cNvPr>
        <xdr:cNvSpPr txBox="1"/>
      </xdr:nvSpPr>
      <xdr:spPr>
        <a:xfrm>
          <a:off x="319617" y="17043399"/>
          <a:ext cx="275167" cy="168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148166</xdr:colOff>
      <xdr:row>200</xdr:row>
      <xdr:rowOff>4233</xdr:rowOff>
    </xdr:from>
    <xdr:to>
      <xdr:col>4</xdr:col>
      <xdr:colOff>423333</xdr:colOff>
      <xdr:row>200</xdr:row>
      <xdr:rowOff>161925</xdr:rowOff>
    </xdr:to>
    <xdr:sp macro="[0]!TextBox116_Click" textlink="">
      <xdr:nvSpPr>
        <xdr:cNvPr id="117" name="TextBox 116">
          <a:extLst>
            <a:ext uri="{FF2B5EF4-FFF2-40B4-BE49-F238E27FC236}">
              <a16:creationId xmlns:a16="http://schemas.microsoft.com/office/drawing/2014/main" id="{00000000-0008-0000-0500-000075000000}"/>
            </a:ext>
          </a:extLst>
        </xdr:cNvPr>
        <xdr:cNvSpPr txBox="1"/>
      </xdr:nvSpPr>
      <xdr:spPr>
        <a:xfrm>
          <a:off x="319616" y="16844433"/>
          <a:ext cx="275167" cy="157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158750</xdr:colOff>
      <xdr:row>198</xdr:row>
      <xdr:rowOff>183092</xdr:rowOff>
    </xdr:from>
    <xdr:to>
      <xdr:col>5</xdr:col>
      <xdr:colOff>0</xdr:colOff>
      <xdr:row>199</xdr:row>
      <xdr:rowOff>161925</xdr:rowOff>
    </xdr:to>
    <xdr:sp macro="[0]!TextBox117_Click" textlink="">
      <xdr:nvSpPr>
        <xdr:cNvPr id="118" name="TextBox 117" hidden="1">
          <a:extLst>
            <a:ext uri="{FF2B5EF4-FFF2-40B4-BE49-F238E27FC236}">
              <a16:creationId xmlns:a16="http://schemas.microsoft.com/office/drawing/2014/main" id="{00000000-0008-0000-0500-000076000000}"/>
            </a:ext>
          </a:extLst>
        </xdr:cNvPr>
        <xdr:cNvSpPr txBox="1"/>
      </xdr:nvSpPr>
      <xdr:spPr>
        <a:xfrm>
          <a:off x="330200" y="16623242"/>
          <a:ext cx="269875" cy="178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12</xdr:col>
      <xdr:colOff>941918</xdr:colOff>
      <xdr:row>8</xdr:row>
      <xdr:rowOff>116415</xdr:rowOff>
    </xdr:from>
    <xdr:to>
      <xdr:col>15</xdr:col>
      <xdr:colOff>317501</xdr:colOff>
      <xdr:row>9</xdr:row>
      <xdr:rowOff>137583</xdr:rowOff>
    </xdr:to>
    <xdr:sp macro="[0]!LivestockForageBalance_TextBox66_Click" textlink="">
      <xdr:nvSpPr>
        <xdr:cNvPr id="67" name="TextBox 66">
          <a:extLst>
            <a:ext uri="{FF2B5EF4-FFF2-40B4-BE49-F238E27FC236}">
              <a16:creationId xmlns:a16="http://schemas.microsoft.com/office/drawing/2014/main" id="{00000000-0008-0000-0500-000043000000}"/>
            </a:ext>
          </a:extLst>
        </xdr:cNvPr>
        <xdr:cNvSpPr txBox="1"/>
      </xdr:nvSpPr>
      <xdr:spPr>
        <a:xfrm>
          <a:off x="8890001" y="3238498"/>
          <a:ext cx="2010833" cy="222252"/>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latin typeface="Arial" pitchFamily="34" charset="0"/>
              <a:cs typeface="Arial" pitchFamily="34" charset="0"/>
            </a:rPr>
            <a:t>Dairy Options Explanation</a:t>
          </a:r>
        </a:p>
      </xdr:txBody>
    </xdr:sp>
    <xdr:clientData/>
  </xdr:twoCellAnchor>
  <xdr:twoCellAnchor editAs="oneCell">
    <xdr:from>
      <xdr:col>54</xdr:col>
      <xdr:colOff>469900</xdr:colOff>
      <xdr:row>0</xdr:row>
      <xdr:rowOff>254000</xdr:rowOff>
    </xdr:from>
    <xdr:to>
      <xdr:col>59</xdr:col>
      <xdr:colOff>254000</xdr:colOff>
      <xdr:row>0</xdr:row>
      <xdr:rowOff>495300</xdr:rowOff>
    </xdr:to>
    <xdr:sp macro="" textlink="">
      <xdr:nvSpPr>
        <xdr:cNvPr id="1265" name="Forage" hidden="1">
          <a:extLst>
            <a:ext uri="{63B3BB69-23CF-44E3-9099-C40C66FF867C}">
              <a14:compatExt xmlns:a14="http://schemas.microsoft.com/office/drawing/2010/main" spid="_x0000_s1265"/>
            </a:ext>
            <a:ext uri="{FF2B5EF4-FFF2-40B4-BE49-F238E27FC236}">
              <a16:creationId xmlns:a16="http://schemas.microsoft.com/office/drawing/2014/main" id="{00000000-0008-0000-0500-0000F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127000</xdr:colOff>
      <xdr:row>0</xdr:row>
      <xdr:rowOff>127000</xdr:rowOff>
    </xdr:from>
    <xdr:to>
      <xdr:col>3</xdr:col>
      <xdr:colOff>127000</xdr:colOff>
      <xdr:row>0</xdr:row>
      <xdr:rowOff>381000</xdr:rowOff>
    </xdr:to>
    <xdr:sp macro="" textlink="">
      <xdr:nvSpPr>
        <xdr:cNvPr id="1274" name="TempCombo" hidden="1">
          <a:extLst>
            <a:ext uri="{63B3BB69-23CF-44E3-9099-C40C66FF867C}">
              <a14:compatExt xmlns:a14="http://schemas.microsoft.com/office/drawing/2010/main" spid="_x0000_s1274"/>
            </a:ext>
            <a:ext uri="{FF2B5EF4-FFF2-40B4-BE49-F238E27FC236}">
              <a16:creationId xmlns:a16="http://schemas.microsoft.com/office/drawing/2014/main" id="{00000000-0008-0000-0500-0000FA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1799166</xdr:colOff>
      <xdr:row>186</xdr:row>
      <xdr:rowOff>31748</xdr:rowOff>
    </xdr:from>
    <xdr:to>
      <xdr:col>8</xdr:col>
      <xdr:colOff>476249</xdr:colOff>
      <xdr:row>186</xdr:row>
      <xdr:rowOff>285751</xdr:rowOff>
    </xdr:to>
    <xdr:sp macro="[0]!LivestockForageBalance_TextBox1212_2_Click" textlink="">
      <xdr:nvSpPr>
        <xdr:cNvPr id="1213" name="TextBox 1212">
          <a:extLst>
            <a:ext uri="{FF2B5EF4-FFF2-40B4-BE49-F238E27FC236}">
              <a16:creationId xmlns:a16="http://schemas.microsoft.com/office/drawing/2014/main" id="{00000000-0008-0000-0500-0000BD040000}"/>
            </a:ext>
          </a:extLst>
        </xdr:cNvPr>
        <xdr:cNvSpPr txBox="1"/>
      </xdr:nvSpPr>
      <xdr:spPr>
        <a:xfrm>
          <a:off x="3285066" y="23396573"/>
          <a:ext cx="1401233" cy="254003"/>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rial" pitchFamily="34" charset="0"/>
              <a:cs typeface="Arial" pitchFamily="34" charset="0"/>
            </a:rPr>
            <a:t>What is TFP?</a:t>
          </a:r>
        </a:p>
      </xdr:txBody>
    </xdr:sp>
    <xdr:clientData/>
  </xdr:twoCellAnchor>
  <xdr:twoCellAnchor>
    <xdr:from>
      <xdr:col>10</xdr:col>
      <xdr:colOff>631825</xdr:colOff>
      <xdr:row>155</xdr:row>
      <xdr:rowOff>977900</xdr:rowOff>
    </xdr:from>
    <xdr:to>
      <xdr:col>13</xdr:col>
      <xdr:colOff>581025</xdr:colOff>
      <xdr:row>155</xdr:row>
      <xdr:rowOff>1216024</xdr:rowOff>
    </xdr:to>
    <xdr:sp macro="[0]!TextBox72_Click" textlink="">
      <xdr:nvSpPr>
        <xdr:cNvPr id="73" name="TextBox 72">
          <a:extLst>
            <a:ext uri="{FF2B5EF4-FFF2-40B4-BE49-F238E27FC236}">
              <a16:creationId xmlns:a16="http://schemas.microsoft.com/office/drawing/2014/main" id="{00000000-0008-0000-0500-000049000000}"/>
            </a:ext>
          </a:extLst>
        </xdr:cNvPr>
        <xdr:cNvSpPr txBox="1"/>
      </xdr:nvSpPr>
      <xdr:spPr>
        <a:xfrm>
          <a:off x="6184900" y="21609050"/>
          <a:ext cx="2454275" cy="238124"/>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bg1"/>
              </a:solidFill>
              <a:latin typeface="Arial" pitchFamily="34" charset="0"/>
              <a:cs typeface="Arial" pitchFamily="34" charset="0"/>
            </a:rPr>
            <a:t>View Forage Growth Curves</a:t>
          </a:r>
        </a:p>
      </xdr:txBody>
    </xdr:sp>
    <xdr:clientData/>
  </xdr:twoCellAnchor>
  <xdr:twoCellAnchor>
    <xdr:from>
      <xdr:col>9</xdr:col>
      <xdr:colOff>279399</xdr:colOff>
      <xdr:row>186</xdr:row>
      <xdr:rowOff>41274</xdr:rowOff>
    </xdr:from>
    <xdr:to>
      <xdr:col>14</xdr:col>
      <xdr:colOff>161924</xdr:colOff>
      <xdr:row>186</xdr:row>
      <xdr:rowOff>305858</xdr:rowOff>
    </xdr:to>
    <xdr:sp macro="[0]!TextBox73_Click" textlink="">
      <xdr:nvSpPr>
        <xdr:cNvPr id="74" name="TextBox 73">
          <a:extLst>
            <a:ext uri="{FF2B5EF4-FFF2-40B4-BE49-F238E27FC236}">
              <a16:creationId xmlns:a16="http://schemas.microsoft.com/office/drawing/2014/main" id="{00000000-0008-0000-0500-00004A000000}"/>
            </a:ext>
          </a:extLst>
        </xdr:cNvPr>
        <xdr:cNvSpPr txBox="1"/>
      </xdr:nvSpPr>
      <xdr:spPr>
        <a:xfrm>
          <a:off x="5127624" y="23406099"/>
          <a:ext cx="3825875" cy="264584"/>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latin typeface="Arial" pitchFamily="34" charset="0"/>
              <a:cs typeface="Arial" pitchFamily="34" charset="0"/>
            </a:rPr>
            <a:t>View Forage Suitability Group Yield Table</a:t>
          </a:r>
        </a:p>
      </xdr:txBody>
    </xdr:sp>
    <xdr:clientData/>
  </xdr:twoCellAnchor>
  <xdr:twoCellAnchor>
    <xdr:from>
      <xdr:col>17</xdr:col>
      <xdr:colOff>315187</xdr:colOff>
      <xdr:row>256</xdr:row>
      <xdr:rowOff>17873</xdr:rowOff>
    </xdr:from>
    <xdr:to>
      <xdr:col>22</xdr:col>
      <xdr:colOff>214222</xdr:colOff>
      <xdr:row>257</xdr:row>
      <xdr:rowOff>89577</xdr:rowOff>
    </xdr:to>
    <xdr:sp macro="[0]!LivestockForageBalance_TextBox74_Click" textlink="">
      <xdr:nvSpPr>
        <xdr:cNvPr id="75" name="TextBox 74">
          <a:extLst>
            <a:ext uri="{FF2B5EF4-FFF2-40B4-BE49-F238E27FC236}">
              <a16:creationId xmlns:a16="http://schemas.microsoft.com/office/drawing/2014/main" id="{00000000-0008-0000-0500-00004B000000}"/>
            </a:ext>
          </a:extLst>
        </xdr:cNvPr>
        <xdr:cNvSpPr txBox="1"/>
      </xdr:nvSpPr>
      <xdr:spPr>
        <a:xfrm>
          <a:off x="12673875" y="32926748"/>
          <a:ext cx="3947160" cy="29792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Alternative Pasture Graph</a:t>
          </a:r>
        </a:p>
      </xdr:txBody>
    </xdr:sp>
    <xdr:clientData/>
  </xdr:twoCellAnchor>
  <xdr:twoCellAnchor>
    <xdr:from>
      <xdr:col>17</xdr:col>
      <xdr:colOff>332648</xdr:colOff>
      <xdr:row>253</xdr:row>
      <xdr:rowOff>190506</xdr:rowOff>
    </xdr:from>
    <xdr:to>
      <xdr:col>22</xdr:col>
      <xdr:colOff>231683</xdr:colOff>
      <xdr:row>255</xdr:row>
      <xdr:rowOff>44995</xdr:rowOff>
    </xdr:to>
    <xdr:sp macro="[0]!LivestockForageBalance_TextBox1_Click" textlink="">
      <xdr:nvSpPr>
        <xdr:cNvPr id="127" name="TextBox 1">
          <a:extLst>
            <a:ext uri="{FF2B5EF4-FFF2-40B4-BE49-F238E27FC236}">
              <a16:creationId xmlns:a16="http://schemas.microsoft.com/office/drawing/2014/main" id="{00000000-0008-0000-0500-00007F000000}"/>
            </a:ext>
          </a:extLst>
        </xdr:cNvPr>
        <xdr:cNvSpPr txBox="1"/>
      </xdr:nvSpPr>
      <xdr:spPr>
        <a:xfrm>
          <a:off x="12691336" y="32539787"/>
          <a:ext cx="3947160" cy="306927"/>
        </a:xfrm>
        <a:prstGeom prst="rect">
          <a:avLst/>
        </a:prstGeom>
        <a:solidFill>
          <a:schemeClr val="bg1"/>
        </a:solidFill>
        <a:ln>
          <a:noFill/>
        </a:ln>
        <a:effectLst>
          <a:outerShdw blurRad="50800" dist="38100" dir="2700000" algn="tl"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latin typeface="Arial" pitchFamily="34" charset="0"/>
              <a:cs typeface="Arial" pitchFamily="34" charset="0"/>
            </a:rPr>
            <a:t>Print Grazing System Graph</a:t>
          </a:r>
        </a:p>
      </xdr:txBody>
    </xdr:sp>
    <xdr:clientData/>
  </xdr:twoCellAnchor>
  <xdr:twoCellAnchor>
    <xdr:from>
      <xdr:col>5</xdr:col>
      <xdr:colOff>31750</xdr:colOff>
      <xdr:row>130</xdr:row>
      <xdr:rowOff>135467</xdr:rowOff>
    </xdr:from>
    <xdr:to>
      <xdr:col>5</xdr:col>
      <xdr:colOff>260350</xdr:colOff>
      <xdr:row>131</xdr:row>
      <xdr:rowOff>114300</xdr:rowOff>
    </xdr:to>
    <xdr:sp macro="[0]!TextBox97_Click" textlink="">
      <xdr:nvSpPr>
        <xdr:cNvPr id="98" name="TextBox 97" hidden="1">
          <a:extLst>
            <a:ext uri="{FF2B5EF4-FFF2-40B4-BE49-F238E27FC236}">
              <a16:creationId xmlns:a16="http://schemas.microsoft.com/office/drawing/2014/main" id="{00000000-0008-0000-0500-000062000000}"/>
            </a:ext>
          </a:extLst>
        </xdr:cNvPr>
        <xdr:cNvSpPr txBox="1"/>
      </xdr:nvSpPr>
      <xdr:spPr>
        <a:xfrm>
          <a:off x="631825" y="14622992"/>
          <a:ext cx="228600" cy="178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latin typeface="Arial Black" pitchFamily="34" charset="0"/>
              <a:cs typeface="Arial" pitchFamily="34" charset="0"/>
            </a:rPr>
            <a:t>+</a:t>
          </a:r>
          <a:endParaRPr lang="en-US" sz="1100" b="0">
            <a:latin typeface="Arial Black" pitchFamily="34" charset="0"/>
            <a:cs typeface="Arial" pitchFamily="34" charset="0"/>
          </a:endParaRPr>
        </a:p>
      </xdr:txBody>
    </xdr:sp>
    <xdr:clientData/>
  </xdr:twoCellAnchor>
  <xdr:twoCellAnchor>
    <xdr:from>
      <xdr:col>5</xdr:col>
      <xdr:colOff>31750</xdr:colOff>
      <xdr:row>132</xdr:row>
      <xdr:rowOff>82549</xdr:rowOff>
    </xdr:from>
    <xdr:to>
      <xdr:col>5</xdr:col>
      <xdr:colOff>260350</xdr:colOff>
      <xdr:row>133</xdr:row>
      <xdr:rowOff>94657</xdr:rowOff>
    </xdr:to>
    <xdr:sp macro="[0]!TextBox98_Click" textlink="">
      <xdr:nvSpPr>
        <xdr:cNvPr id="99" name="TextBox 98" hidden="1">
          <a:extLst>
            <a:ext uri="{FF2B5EF4-FFF2-40B4-BE49-F238E27FC236}">
              <a16:creationId xmlns:a16="http://schemas.microsoft.com/office/drawing/2014/main" id="{00000000-0008-0000-0500-000063000000}"/>
            </a:ext>
          </a:extLst>
        </xdr:cNvPr>
        <xdr:cNvSpPr txBox="1"/>
      </xdr:nvSpPr>
      <xdr:spPr>
        <a:xfrm>
          <a:off x="631825" y="14970124"/>
          <a:ext cx="228600" cy="21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222250</xdr:colOff>
      <xdr:row>132</xdr:row>
      <xdr:rowOff>91017</xdr:rowOff>
    </xdr:from>
    <xdr:to>
      <xdr:col>5</xdr:col>
      <xdr:colOff>16933</xdr:colOff>
      <xdr:row>133</xdr:row>
      <xdr:rowOff>103125</xdr:rowOff>
    </xdr:to>
    <xdr:sp macro="[0]!TextBox99_Click" textlink="">
      <xdr:nvSpPr>
        <xdr:cNvPr id="100" name="TextBox 99" hidden="1">
          <a:extLst>
            <a:ext uri="{FF2B5EF4-FFF2-40B4-BE49-F238E27FC236}">
              <a16:creationId xmlns:a16="http://schemas.microsoft.com/office/drawing/2014/main" id="{00000000-0008-0000-0500-000064000000}"/>
            </a:ext>
          </a:extLst>
        </xdr:cNvPr>
        <xdr:cNvSpPr txBox="1"/>
      </xdr:nvSpPr>
      <xdr:spPr>
        <a:xfrm>
          <a:off x="393700" y="14978592"/>
          <a:ext cx="223308" cy="21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134</xdr:row>
      <xdr:rowOff>127001</xdr:rowOff>
    </xdr:from>
    <xdr:to>
      <xdr:col>5</xdr:col>
      <xdr:colOff>260350</xdr:colOff>
      <xdr:row>135</xdr:row>
      <xdr:rowOff>139108</xdr:rowOff>
    </xdr:to>
    <xdr:sp macro="[0]!TextBox100_Click" textlink="">
      <xdr:nvSpPr>
        <xdr:cNvPr id="101" name="TextBox 100" hidden="1">
          <a:extLst>
            <a:ext uri="{FF2B5EF4-FFF2-40B4-BE49-F238E27FC236}">
              <a16:creationId xmlns:a16="http://schemas.microsoft.com/office/drawing/2014/main" id="{00000000-0008-0000-0500-000065000000}"/>
            </a:ext>
          </a:extLst>
        </xdr:cNvPr>
        <xdr:cNvSpPr txBox="1"/>
      </xdr:nvSpPr>
      <xdr:spPr>
        <a:xfrm>
          <a:off x="635000" y="15462251"/>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231776</xdr:colOff>
      <xdr:row>134</xdr:row>
      <xdr:rowOff>124884</xdr:rowOff>
    </xdr:from>
    <xdr:to>
      <xdr:col>5</xdr:col>
      <xdr:colOff>26459</xdr:colOff>
      <xdr:row>135</xdr:row>
      <xdr:rowOff>136991</xdr:rowOff>
    </xdr:to>
    <xdr:sp macro="[0]!TextBox101_Click" textlink="">
      <xdr:nvSpPr>
        <xdr:cNvPr id="102" name="TextBox 101" hidden="1">
          <a:extLst>
            <a:ext uri="{FF2B5EF4-FFF2-40B4-BE49-F238E27FC236}">
              <a16:creationId xmlns:a16="http://schemas.microsoft.com/office/drawing/2014/main" id="{00000000-0008-0000-0500-000066000000}"/>
            </a:ext>
          </a:extLst>
        </xdr:cNvPr>
        <xdr:cNvSpPr txBox="1"/>
      </xdr:nvSpPr>
      <xdr:spPr>
        <a:xfrm>
          <a:off x="403226" y="15412509"/>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endParaRPr lang="en-US" sz="1100">
            <a:latin typeface="Arial Black" pitchFamily="34" charset="0"/>
            <a:cs typeface="Arial" pitchFamily="34" charset="0"/>
          </a:endParaRPr>
        </a:p>
      </xdr:txBody>
    </xdr:sp>
    <xdr:clientData/>
  </xdr:twoCellAnchor>
  <xdr:twoCellAnchor>
    <xdr:from>
      <xdr:col>5</xdr:col>
      <xdr:colOff>31751</xdr:colOff>
      <xdr:row>136</xdr:row>
      <xdr:rowOff>116417</xdr:rowOff>
    </xdr:from>
    <xdr:to>
      <xdr:col>5</xdr:col>
      <xdr:colOff>260351</xdr:colOff>
      <xdr:row>137</xdr:row>
      <xdr:rowOff>128524</xdr:rowOff>
    </xdr:to>
    <xdr:sp macro="[0]!TextBox102_Click" textlink="">
      <xdr:nvSpPr>
        <xdr:cNvPr id="103" name="TextBox 102" hidden="1">
          <a:extLst>
            <a:ext uri="{FF2B5EF4-FFF2-40B4-BE49-F238E27FC236}">
              <a16:creationId xmlns:a16="http://schemas.microsoft.com/office/drawing/2014/main" id="{00000000-0008-0000-0500-000067000000}"/>
            </a:ext>
          </a:extLst>
        </xdr:cNvPr>
        <xdr:cNvSpPr txBox="1"/>
      </xdr:nvSpPr>
      <xdr:spPr>
        <a:xfrm>
          <a:off x="635001" y="1581150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241300</xdr:colOff>
      <xdr:row>136</xdr:row>
      <xdr:rowOff>123826</xdr:rowOff>
    </xdr:from>
    <xdr:to>
      <xdr:col>5</xdr:col>
      <xdr:colOff>35983</xdr:colOff>
      <xdr:row>137</xdr:row>
      <xdr:rowOff>135933</xdr:rowOff>
    </xdr:to>
    <xdr:sp macro="[0]!TextBox103_Click" textlink="">
      <xdr:nvSpPr>
        <xdr:cNvPr id="104" name="TextBox 103" hidden="1">
          <a:extLst>
            <a:ext uri="{FF2B5EF4-FFF2-40B4-BE49-F238E27FC236}">
              <a16:creationId xmlns:a16="http://schemas.microsoft.com/office/drawing/2014/main" id="{00000000-0008-0000-0500-000068000000}"/>
            </a:ext>
          </a:extLst>
        </xdr:cNvPr>
        <xdr:cNvSpPr txBox="1"/>
      </xdr:nvSpPr>
      <xdr:spPr>
        <a:xfrm>
          <a:off x="412750" y="15811501"/>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42333</xdr:colOff>
      <xdr:row>138</xdr:row>
      <xdr:rowOff>105833</xdr:rowOff>
    </xdr:from>
    <xdr:to>
      <xdr:col>5</xdr:col>
      <xdr:colOff>270933</xdr:colOff>
      <xdr:row>139</xdr:row>
      <xdr:rowOff>117941</xdr:rowOff>
    </xdr:to>
    <xdr:sp macro="[0]!TextBox172_Click" textlink="">
      <xdr:nvSpPr>
        <xdr:cNvPr id="173" name="TextBox 172" hidden="1">
          <a:extLst>
            <a:ext uri="{FF2B5EF4-FFF2-40B4-BE49-F238E27FC236}">
              <a16:creationId xmlns:a16="http://schemas.microsoft.com/office/drawing/2014/main" id="{00000000-0008-0000-0500-0000AD000000}"/>
            </a:ext>
          </a:extLst>
        </xdr:cNvPr>
        <xdr:cNvSpPr txBox="1"/>
      </xdr:nvSpPr>
      <xdr:spPr>
        <a:xfrm>
          <a:off x="645583" y="1616075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140</xdr:row>
      <xdr:rowOff>95250</xdr:rowOff>
    </xdr:from>
    <xdr:to>
      <xdr:col>5</xdr:col>
      <xdr:colOff>260350</xdr:colOff>
      <xdr:row>141</xdr:row>
      <xdr:rowOff>107357</xdr:rowOff>
    </xdr:to>
    <xdr:sp macro="[0]!TextBox173_Click" textlink="">
      <xdr:nvSpPr>
        <xdr:cNvPr id="174" name="TextBox 173" hidden="1">
          <a:extLst>
            <a:ext uri="{FF2B5EF4-FFF2-40B4-BE49-F238E27FC236}">
              <a16:creationId xmlns:a16="http://schemas.microsoft.com/office/drawing/2014/main" id="{00000000-0008-0000-0500-0000AE000000}"/>
            </a:ext>
          </a:extLst>
        </xdr:cNvPr>
        <xdr:cNvSpPr txBox="1"/>
      </xdr:nvSpPr>
      <xdr:spPr>
        <a:xfrm>
          <a:off x="635000" y="1651000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142</xdr:row>
      <xdr:rowOff>105834</xdr:rowOff>
    </xdr:from>
    <xdr:to>
      <xdr:col>5</xdr:col>
      <xdr:colOff>260350</xdr:colOff>
      <xdr:row>143</xdr:row>
      <xdr:rowOff>117941</xdr:rowOff>
    </xdr:to>
    <xdr:sp macro="[0]!TextBox174_Click" textlink="">
      <xdr:nvSpPr>
        <xdr:cNvPr id="175" name="TextBox 174" hidden="1">
          <a:extLst>
            <a:ext uri="{FF2B5EF4-FFF2-40B4-BE49-F238E27FC236}">
              <a16:creationId xmlns:a16="http://schemas.microsoft.com/office/drawing/2014/main" id="{00000000-0008-0000-0500-0000AF000000}"/>
            </a:ext>
          </a:extLst>
        </xdr:cNvPr>
        <xdr:cNvSpPr txBox="1"/>
      </xdr:nvSpPr>
      <xdr:spPr>
        <a:xfrm>
          <a:off x="635000" y="16880417"/>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144</xdr:row>
      <xdr:rowOff>148166</xdr:rowOff>
    </xdr:from>
    <xdr:to>
      <xdr:col>5</xdr:col>
      <xdr:colOff>260350</xdr:colOff>
      <xdr:row>145</xdr:row>
      <xdr:rowOff>160274</xdr:rowOff>
    </xdr:to>
    <xdr:sp macro="[0]!TextBox175_Click" textlink="">
      <xdr:nvSpPr>
        <xdr:cNvPr id="176" name="TextBox 175" hidden="1">
          <a:extLst>
            <a:ext uri="{FF2B5EF4-FFF2-40B4-BE49-F238E27FC236}">
              <a16:creationId xmlns:a16="http://schemas.microsoft.com/office/drawing/2014/main" id="{00000000-0008-0000-0500-0000B0000000}"/>
            </a:ext>
          </a:extLst>
        </xdr:cNvPr>
        <xdr:cNvSpPr txBox="1"/>
      </xdr:nvSpPr>
      <xdr:spPr>
        <a:xfrm>
          <a:off x="635000" y="17282583"/>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42333</xdr:colOff>
      <xdr:row>146</xdr:row>
      <xdr:rowOff>120651</xdr:rowOff>
    </xdr:from>
    <xdr:to>
      <xdr:col>5</xdr:col>
      <xdr:colOff>270933</xdr:colOff>
      <xdr:row>147</xdr:row>
      <xdr:rowOff>132758</xdr:rowOff>
    </xdr:to>
    <xdr:sp macro="[0]!TextBox176_Click" textlink="">
      <xdr:nvSpPr>
        <xdr:cNvPr id="177" name="TextBox 176" hidden="1">
          <a:extLst>
            <a:ext uri="{FF2B5EF4-FFF2-40B4-BE49-F238E27FC236}">
              <a16:creationId xmlns:a16="http://schemas.microsoft.com/office/drawing/2014/main" id="{00000000-0008-0000-0500-0000B1000000}"/>
            </a:ext>
          </a:extLst>
        </xdr:cNvPr>
        <xdr:cNvSpPr txBox="1"/>
      </xdr:nvSpPr>
      <xdr:spPr>
        <a:xfrm>
          <a:off x="642408" y="17808576"/>
          <a:ext cx="228600"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222250</xdr:colOff>
      <xdr:row>138</xdr:row>
      <xdr:rowOff>88899</xdr:rowOff>
    </xdr:from>
    <xdr:to>
      <xdr:col>5</xdr:col>
      <xdr:colOff>16933</xdr:colOff>
      <xdr:row>139</xdr:row>
      <xdr:rowOff>101007</xdr:rowOff>
    </xdr:to>
    <xdr:sp macro="[0]!TextBox177_Click" textlink="">
      <xdr:nvSpPr>
        <xdr:cNvPr id="178" name="TextBox 177" hidden="1">
          <a:extLst>
            <a:ext uri="{FF2B5EF4-FFF2-40B4-BE49-F238E27FC236}">
              <a16:creationId xmlns:a16="http://schemas.microsoft.com/office/drawing/2014/main" id="{00000000-0008-0000-0500-0000B2000000}"/>
            </a:ext>
          </a:extLst>
        </xdr:cNvPr>
        <xdr:cNvSpPr txBox="1"/>
      </xdr:nvSpPr>
      <xdr:spPr>
        <a:xfrm>
          <a:off x="393700" y="16176624"/>
          <a:ext cx="223308" cy="21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211667</xdr:colOff>
      <xdr:row>140</xdr:row>
      <xdr:rowOff>98426</xdr:rowOff>
    </xdr:from>
    <xdr:to>
      <xdr:col>5</xdr:col>
      <xdr:colOff>6350</xdr:colOff>
      <xdr:row>141</xdr:row>
      <xdr:rowOff>110533</xdr:rowOff>
    </xdr:to>
    <xdr:sp macro="[0]!TextBox178_Click" textlink="">
      <xdr:nvSpPr>
        <xdr:cNvPr id="179" name="TextBox 178" hidden="1">
          <a:extLst>
            <a:ext uri="{FF2B5EF4-FFF2-40B4-BE49-F238E27FC236}">
              <a16:creationId xmlns:a16="http://schemas.microsoft.com/office/drawing/2014/main" id="{00000000-0008-0000-0500-0000B3000000}"/>
            </a:ext>
          </a:extLst>
        </xdr:cNvPr>
        <xdr:cNvSpPr txBox="1"/>
      </xdr:nvSpPr>
      <xdr:spPr>
        <a:xfrm>
          <a:off x="383117" y="16586201"/>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211667</xdr:colOff>
      <xdr:row>142</xdr:row>
      <xdr:rowOff>87842</xdr:rowOff>
    </xdr:from>
    <xdr:to>
      <xdr:col>5</xdr:col>
      <xdr:colOff>6350</xdr:colOff>
      <xdr:row>143</xdr:row>
      <xdr:rowOff>99949</xdr:rowOff>
    </xdr:to>
    <xdr:sp macro="[0]!TextBox179_Click" textlink="">
      <xdr:nvSpPr>
        <xdr:cNvPr id="180" name="TextBox 179" hidden="1">
          <a:extLst>
            <a:ext uri="{FF2B5EF4-FFF2-40B4-BE49-F238E27FC236}">
              <a16:creationId xmlns:a16="http://schemas.microsoft.com/office/drawing/2014/main" id="{00000000-0008-0000-0500-0000B4000000}"/>
            </a:ext>
          </a:extLst>
        </xdr:cNvPr>
        <xdr:cNvSpPr txBox="1"/>
      </xdr:nvSpPr>
      <xdr:spPr>
        <a:xfrm>
          <a:off x="383117" y="16975667"/>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201084</xdr:colOff>
      <xdr:row>144</xdr:row>
      <xdr:rowOff>137583</xdr:rowOff>
    </xdr:from>
    <xdr:to>
      <xdr:col>4</xdr:col>
      <xdr:colOff>429684</xdr:colOff>
      <xdr:row>145</xdr:row>
      <xdr:rowOff>149691</xdr:rowOff>
    </xdr:to>
    <xdr:sp macro="[0]!TextBox180_Click" textlink="">
      <xdr:nvSpPr>
        <xdr:cNvPr id="181" name="TextBox 180" hidden="1">
          <a:extLst>
            <a:ext uri="{FF2B5EF4-FFF2-40B4-BE49-F238E27FC236}">
              <a16:creationId xmlns:a16="http://schemas.microsoft.com/office/drawing/2014/main" id="{00000000-0008-0000-0500-0000B5000000}"/>
            </a:ext>
          </a:extLst>
        </xdr:cNvPr>
        <xdr:cNvSpPr txBox="1"/>
      </xdr:nvSpPr>
      <xdr:spPr>
        <a:xfrm>
          <a:off x="370417" y="1727200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205316</xdr:colOff>
      <xdr:row>146</xdr:row>
      <xdr:rowOff>115359</xdr:rowOff>
    </xdr:from>
    <xdr:to>
      <xdr:col>4</xdr:col>
      <xdr:colOff>424391</xdr:colOff>
      <xdr:row>147</xdr:row>
      <xdr:rowOff>127466</xdr:rowOff>
    </xdr:to>
    <xdr:sp macro="[0]!TextBox181_Click" textlink="">
      <xdr:nvSpPr>
        <xdr:cNvPr id="182" name="TextBox 181" hidden="1">
          <a:extLst>
            <a:ext uri="{FF2B5EF4-FFF2-40B4-BE49-F238E27FC236}">
              <a16:creationId xmlns:a16="http://schemas.microsoft.com/office/drawing/2014/main" id="{00000000-0008-0000-0500-0000B6000000}"/>
            </a:ext>
          </a:extLst>
        </xdr:cNvPr>
        <xdr:cNvSpPr txBox="1"/>
      </xdr:nvSpPr>
      <xdr:spPr>
        <a:xfrm>
          <a:off x="376766" y="17803284"/>
          <a:ext cx="219075"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42333</xdr:colOff>
      <xdr:row>148</xdr:row>
      <xdr:rowOff>119591</xdr:rowOff>
    </xdr:from>
    <xdr:to>
      <xdr:col>5</xdr:col>
      <xdr:colOff>270933</xdr:colOff>
      <xdr:row>149</xdr:row>
      <xdr:rowOff>131698</xdr:rowOff>
    </xdr:to>
    <xdr:sp macro="[0]!TextBox182_Click" textlink="">
      <xdr:nvSpPr>
        <xdr:cNvPr id="183" name="TextBox 182">
          <a:extLst>
            <a:ext uri="{FF2B5EF4-FFF2-40B4-BE49-F238E27FC236}">
              <a16:creationId xmlns:a16="http://schemas.microsoft.com/office/drawing/2014/main" id="{00000000-0008-0000-0500-0000B7000000}"/>
            </a:ext>
          </a:extLst>
        </xdr:cNvPr>
        <xdr:cNvSpPr txBox="1"/>
      </xdr:nvSpPr>
      <xdr:spPr>
        <a:xfrm>
          <a:off x="642408" y="18207566"/>
          <a:ext cx="228600"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116417</xdr:colOff>
      <xdr:row>206</xdr:row>
      <xdr:rowOff>74086</xdr:rowOff>
    </xdr:from>
    <xdr:to>
      <xdr:col>6</xdr:col>
      <xdr:colOff>465668</xdr:colOff>
      <xdr:row>206</xdr:row>
      <xdr:rowOff>338668</xdr:rowOff>
    </xdr:to>
    <xdr:sp macro="[0]!LivestockForageBalance_TextBox1206_2_Click" textlink="">
      <xdr:nvSpPr>
        <xdr:cNvPr id="1207" name="TextBox 1206">
          <a:extLst>
            <a:ext uri="{FF2B5EF4-FFF2-40B4-BE49-F238E27FC236}">
              <a16:creationId xmlns:a16="http://schemas.microsoft.com/office/drawing/2014/main" id="{00000000-0008-0000-0500-0000B7040000}"/>
            </a:ext>
          </a:extLst>
        </xdr:cNvPr>
        <xdr:cNvSpPr txBox="1"/>
      </xdr:nvSpPr>
      <xdr:spPr>
        <a:xfrm>
          <a:off x="285750" y="17282586"/>
          <a:ext cx="1206501" cy="264582"/>
        </a:xfrm>
        <a:prstGeom prst="rect">
          <a:avLst/>
        </a:prstGeom>
        <a:solidFill>
          <a:schemeClr val="accent2">
            <a:lumMod val="20000"/>
            <a:lumOff val="80000"/>
          </a:schemeClr>
        </a:solidFill>
        <a:ln w="9525" cmpd="sng">
          <a:solidFill>
            <a:schemeClr val="accent2">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accent2">
                  <a:lumMod val="50000"/>
                </a:schemeClr>
              </a:solidFill>
              <a:latin typeface="Arial" pitchFamily="34" charset="0"/>
              <a:cs typeface="Arial" pitchFamily="34" charset="0"/>
            </a:rPr>
            <a:t>Clear Hay Info</a:t>
          </a:r>
        </a:p>
      </xdr:txBody>
    </xdr:sp>
    <xdr:clientData/>
  </xdr:twoCellAnchor>
  <xdr:twoCellAnchor>
    <xdr:from>
      <xdr:col>17</xdr:col>
      <xdr:colOff>314325</xdr:colOff>
      <xdr:row>247</xdr:row>
      <xdr:rowOff>85722</xdr:rowOff>
    </xdr:from>
    <xdr:to>
      <xdr:col>22</xdr:col>
      <xdr:colOff>210927</xdr:colOff>
      <xdr:row>248</xdr:row>
      <xdr:rowOff>163784</xdr:rowOff>
    </xdr:to>
    <xdr:sp macro="[0]!LivestockForageBalance_TextBox105_Click" textlink="">
      <xdr:nvSpPr>
        <xdr:cNvPr id="106" name="TextBox 105">
          <a:extLst>
            <a:ext uri="{FF2B5EF4-FFF2-40B4-BE49-F238E27FC236}">
              <a16:creationId xmlns:a16="http://schemas.microsoft.com/office/drawing/2014/main" id="{00000000-0008-0000-0500-00006A000000}"/>
            </a:ext>
          </a:extLst>
        </xdr:cNvPr>
        <xdr:cNvSpPr txBox="1"/>
      </xdr:nvSpPr>
      <xdr:spPr>
        <a:xfrm>
          <a:off x="11372850" y="36347397"/>
          <a:ext cx="3563727" cy="306662"/>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Livestock Inventory &amp; Demand Summary</a:t>
          </a:r>
        </a:p>
      </xdr:txBody>
    </xdr:sp>
    <xdr:clientData/>
  </xdr:twoCellAnchor>
  <xdr:twoCellAnchor>
    <xdr:from>
      <xdr:col>17</xdr:col>
      <xdr:colOff>332315</xdr:colOff>
      <xdr:row>249</xdr:row>
      <xdr:rowOff>33337</xdr:rowOff>
    </xdr:from>
    <xdr:to>
      <xdr:col>22</xdr:col>
      <xdr:colOff>231350</xdr:colOff>
      <xdr:row>251</xdr:row>
      <xdr:rowOff>37316</xdr:rowOff>
    </xdr:to>
    <xdr:sp macro="[0]!TextBox107_Click" textlink="">
      <xdr:nvSpPr>
        <xdr:cNvPr id="108" name="TextBox 107">
          <a:extLst>
            <a:ext uri="{FF2B5EF4-FFF2-40B4-BE49-F238E27FC236}">
              <a16:creationId xmlns:a16="http://schemas.microsoft.com/office/drawing/2014/main" id="{00000000-0008-0000-0500-00006C000000}"/>
            </a:ext>
          </a:extLst>
        </xdr:cNvPr>
        <xdr:cNvSpPr txBox="1"/>
      </xdr:nvSpPr>
      <xdr:spPr>
        <a:xfrm>
          <a:off x="11390840" y="36752212"/>
          <a:ext cx="3566160" cy="299254"/>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Pasture</a:t>
          </a:r>
          <a:r>
            <a:rPr lang="en-US" sz="1200" baseline="0">
              <a:latin typeface="Arial" pitchFamily="34" charset="0"/>
              <a:cs typeface="Arial" pitchFamily="34" charset="0"/>
            </a:rPr>
            <a:t> Forage Production Summary</a:t>
          </a:r>
          <a:endParaRPr lang="en-US" sz="1200">
            <a:latin typeface="Arial" pitchFamily="34" charset="0"/>
            <a:cs typeface="Arial" pitchFamily="34" charset="0"/>
          </a:endParaRPr>
        </a:p>
      </xdr:txBody>
    </xdr:sp>
    <xdr:clientData/>
  </xdr:twoCellAnchor>
  <xdr:twoCellAnchor>
    <xdr:from>
      <xdr:col>17</xdr:col>
      <xdr:colOff>320479</xdr:colOff>
      <xdr:row>252</xdr:row>
      <xdr:rowOff>22494</xdr:rowOff>
    </xdr:from>
    <xdr:to>
      <xdr:col>22</xdr:col>
      <xdr:colOff>219514</xdr:colOff>
      <xdr:row>253</xdr:row>
      <xdr:rowOff>93943</xdr:rowOff>
    </xdr:to>
    <xdr:sp macro="[0]!TextBox118_Click" textlink="">
      <xdr:nvSpPr>
        <xdr:cNvPr id="119" name="TextBox 118">
          <a:extLst>
            <a:ext uri="{FF2B5EF4-FFF2-40B4-BE49-F238E27FC236}">
              <a16:creationId xmlns:a16="http://schemas.microsoft.com/office/drawing/2014/main" id="{00000000-0008-0000-0500-000077000000}"/>
            </a:ext>
          </a:extLst>
        </xdr:cNvPr>
        <xdr:cNvSpPr txBox="1"/>
      </xdr:nvSpPr>
      <xdr:spPr>
        <a:xfrm>
          <a:off x="12679167" y="32145557"/>
          <a:ext cx="3947160" cy="297667"/>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a:t>
          </a:r>
          <a:r>
            <a:rPr lang="en-US" sz="1200" baseline="0">
              <a:latin typeface="Arial" pitchFamily="34" charset="0"/>
              <a:cs typeface="Arial" pitchFamily="34" charset="0"/>
            </a:rPr>
            <a:t>Feed &amp; Forage Balance Summary</a:t>
          </a:r>
          <a:endParaRPr lang="en-US" sz="1200">
            <a:latin typeface="Arial" pitchFamily="34" charset="0"/>
            <a:cs typeface="Arial" pitchFamily="34" charset="0"/>
          </a:endParaRPr>
        </a:p>
      </xdr:txBody>
    </xdr:sp>
    <xdr:clientData/>
  </xdr:twoCellAnchor>
  <xdr:twoCellAnchor>
    <xdr:from>
      <xdr:col>20</xdr:col>
      <xdr:colOff>11905</xdr:colOff>
      <xdr:row>279</xdr:row>
      <xdr:rowOff>90223</xdr:rowOff>
    </xdr:from>
    <xdr:to>
      <xdr:col>24</xdr:col>
      <xdr:colOff>720565</xdr:colOff>
      <xdr:row>281</xdr:row>
      <xdr:rowOff>13504</xdr:rowOff>
    </xdr:to>
    <xdr:sp macro="[0]!TextBox123_Click" textlink="">
      <xdr:nvSpPr>
        <xdr:cNvPr id="124" name="TextBox 123">
          <a:extLst>
            <a:ext uri="{FF2B5EF4-FFF2-40B4-BE49-F238E27FC236}">
              <a16:creationId xmlns:a16="http://schemas.microsoft.com/office/drawing/2014/main" id="{00000000-0008-0000-0500-00007C000000}"/>
            </a:ext>
          </a:extLst>
        </xdr:cNvPr>
        <xdr:cNvSpPr txBox="1"/>
      </xdr:nvSpPr>
      <xdr:spPr>
        <a:xfrm>
          <a:off x="14799468" y="34808848"/>
          <a:ext cx="3947160" cy="304281"/>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a:t>
          </a:r>
          <a:r>
            <a:rPr lang="en-US" sz="1200" baseline="0">
              <a:latin typeface="Arial" pitchFamily="34" charset="0"/>
              <a:cs typeface="Arial" pitchFamily="34" charset="0"/>
            </a:rPr>
            <a:t>Hay Production Summary</a:t>
          </a:r>
          <a:endParaRPr lang="en-US" sz="1200">
            <a:latin typeface="Arial" pitchFamily="34" charset="0"/>
            <a:cs typeface="Arial" pitchFamily="34" charset="0"/>
          </a:endParaRPr>
        </a:p>
      </xdr:txBody>
    </xdr:sp>
    <xdr:clientData/>
  </xdr:twoCellAnchor>
  <xdr:twoCellAnchor>
    <xdr:from>
      <xdr:col>13</xdr:col>
      <xdr:colOff>643465</xdr:colOff>
      <xdr:row>278</xdr:row>
      <xdr:rowOff>171447</xdr:rowOff>
    </xdr:from>
    <xdr:to>
      <xdr:col>25</xdr:col>
      <xdr:colOff>33865</xdr:colOff>
      <xdr:row>310</xdr:row>
      <xdr:rowOff>6347</xdr:rowOff>
    </xdr:to>
    <xdr:graphicFrame macro="">
      <xdr:nvGraphicFramePr>
        <xdr:cNvPr id="105" name="Chart 104" title="Grazing System">
          <a:extLst>
            <a:ext uri="{FF2B5EF4-FFF2-40B4-BE49-F238E27FC236}">
              <a16:creationId xmlns:a16="http://schemas.microsoft.com/office/drawing/2014/main" id="{00000000-0008-0000-0500-00006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54</xdr:col>
      <xdr:colOff>520700</xdr:colOff>
      <xdr:row>0</xdr:row>
      <xdr:rowOff>254000</xdr:rowOff>
    </xdr:from>
    <xdr:to>
      <xdr:col>59</xdr:col>
      <xdr:colOff>317500</xdr:colOff>
      <xdr:row>0</xdr:row>
      <xdr:rowOff>482600</xdr:rowOff>
    </xdr:to>
    <xdr:pic>
      <xdr:nvPicPr>
        <xdr:cNvPr id="32" name="Forage2">
          <a:extLst>
            <a:ext uri="{FF2B5EF4-FFF2-40B4-BE49-F238E27FC236}">
              <a16:creationId xmlns:a16="http://schemas.microsoft.com/office/drawing/2014/main" id="{00000000-0008-0000-0500-00002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29000" y="254000"/>
          <a:ext cx="34798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127000</xdr:colOff>
      <xdr:row>5</xdr:row>
      <xdr:rowOff>25400</xdr:rowOff>
    </xdr:from>
    <xdr:to>
      <xdr:col>12</xdr:col>
      <xdr:colOff>215900</xdr:colOff>
      <xdr:row>7</xdr:row>
      <xdr:rowOff>12700</xdr:rowOff>
    </xdr:to>
    <xdr:pic>
      <xdr:nvPicPr>
        <xdr:cNvPr id="33" name="CheckBox1">
          <a:extLst>
            <a:ext uri="{FF2B5EF4-FFF2-40B4-BE49-F238E27FC236}">
              <a16:creationId xmlns:a16="http://schemas.microsoft.com/office/drawing/2014/main" id="{00000000-0008-0000-0500-000021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76900" y="3721100"/>
          <a:ext cx="2641600" cy="419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114300</xdr:colOff>
      <xdr:row>6</xdr:row>
      <xdr:rowOff>152400</xdr:rowOff>
    </xdr:from>
    <xdr:to>
      <xdr:col>11</xdr:col>
      <xdr:colOff>508000</xdr:colOff>
      <xdr:row>8</xdr:row>
      <xdr:rowOff>50800</xdr:rowOff>
    </xdr:to>
    <xdr:pic>
      <xdr:nvPicPr>
        <xdr:cNvPr id="34" name="CheckBox2">
          <a:extLst>
            <a:ext uri="{FF2B5EF4-FFF2-40B4-BE49-F238E27FC236}">
              <a16:creationId xmlns:a16="http://schemas.microsoft.com/office/drawing/2014/main" id="{00000000-0008-0000-0500-00002200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664200" y="4064000"/>
          <a:ext cx="19939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114300</xdr:colOff>
      <xdr:row>8</xdr:row>
      <xdr:rowOff>101600</xdr:rowOff>
    </xdr:from>
    <xdr:to>
      <xdr:col>11</xdr:col>
      <xdr:colOff>469900</xdr:colOff>
      <xdr:row>10</xdr:row>
      <xdr:rowOff>12700</xdr:rowOff>
    </xdr:to>
    <xdr:pic>
      <xdr:nvPicPr>
        <xdr:cNvPr id="35" name="CheckBox3">
          <a:extLst>
            <a:ext uri="{FF2B5EF4-FFF2-40B4-BE49-F238E27FC236}">
              <a16:creationId xmlns:a16="http://schemas.microsoft.com/office/drawing/2014/main" id="{00000000-0008-0000-0500-000023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64200" y="4445000"/>
          <a:ext cx="1955800" cy="355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11</xdr:col>
      <xdr:colOff>508000</xdr:colOff>
      <xdr:row>5</xdr:row>
      <xdr:rowOff>101600</xdr:rowOff>
    </xdr:from>
    <xdr:to>
      <xdr:col>13</xdr:col>
      <xdr:colOff>139700</xdr:colOff>
      <xdr:row>6</xdr:row>
      <xdr:rowOff>177800</xdr:rowOff>
    </xdr:to>
    <xdr:pic>
      <xdr:nvPicPr>
        <xdr:cNvPr id="36" name="CheckBox4">
          <a:extLst>
            <a:ext uri="{FF2B5EF4-FFF2-40B4-BE49-F238E27FC236}">
              <a16:creationId xmlns:a16="http://schemas.microsoft.com/office/drawing/2014/main" id="{00000000-0008-0000-0500-000024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58100" y="3797300"/>
          <a:ext cx="15875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11</xdr:col>
      <xdr:colOff>482600</xdr:colOff>
      <xdr:row>6</xdr:row>
      <xdr:rowOff>177800</xdr:rowOff>
    </xdr:from>
    <xdr:to>
      <xdr:col>13</xdr:col>
      <xdr:colOff>127000</xdr:colOff>
      <xdr:row>8</xdr:row>
      <xdr:rowOff>88900</xdr:rowOff>
    </xdr:to>
    <xdr:pic>
      <xdr:nvPicPr>
        <xdr:cNvPr id="37" name="CheckBox5">
          <a:extLst>
            <a:ext uri="{FF2B5EF4-FFF2-40B4-BE49-F238E27FC236}">
              <a16:creationId xmlns:a16="http://schemas.microsoft.com/office/drawing/2014/main" id="{00000000-0008-0000-0500-000025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32700" y="4089400"/>
          <a:ext cx="16002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203200</xdr:colOff>
      <xdr:row>5</xdr:row>
      <xdr:rowOff>101600</xdr:rowOff>
    </xdr:from>
    <xdr:to>
      <xdr:col>16</xdr:col>
      <xdr:colOff>0</xdr:colOff>
      <xdr:row>7</xdr:row>
      <xdr:rowOff>25400</xdr:rowOff>
    </xdr:to>
    <xdr:pic>
      <xdr:nvPicPr>
        <xdr:cNvPr id="38" name="CheckBox6">
          <a:extLst>
            <a:ext uri="{FF2B5EF4-FFF2-40B4-BE49-F238E27FC236}">
              <a16:creationId xmlns:a16="http://schemas.microsoft.com/office/drawing/2014/main" id="{00000000-0008-0000-0500-00002600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309100" y="3797300"/>
          <a:ext cx="2235200" cy="355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215900</xdr:colOff>
      <xdr:row>7</xdr:row>
      <xdr:rowOff>38100</xdr:rowOff>
    </xdr:from>
    <xdr:to>
      <xdr:col>16</xdr:col>
      <xdr:colOff>0</xdr:colOff>
      <xdr:row>8</xdr:row>
      <xdr:rowOff>76200</xdr:rowOff>
    </xdr:to>
    <xdr:pic>
      <xdr:nvPicPr>
        <xdr:cNvPr id="39" name="CheckBox7">
          <a:extLst>
            <a:ext uri="{FF2B5EF4-FFF2-40B4-BE49-F238E27FC236}">
              <a16:creationId xmlns:a16="http://schemas.microsoft.com/office/drawing/2014/main" id="{00000000-0008-0000-0500-000027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321800" y="4165600"/>
          <a:ext cx="22225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482600</xdr:colOff>
      <xdr:row>5</xdr:row>
      <xdr:rowOff>190500</xdr:rowOff>
    </xdr:from>
    <xdr:to>
      <xdr:col>16</xdr:col>
      <xdr:colOff>660400</xdr:colOff>
      <xdr:row>7</xdr:row>
      <xdr:rowOff>165100</xdr:rowOff>
    </xdr:to>
    <xdr:pic>
      <xdr:nvPicPr>
        <xdr:cNvPr id="40" name="CheckBox8">
          <a:extLst>
            <a:ext uri="{FF2B5EF4-FFF2-40B4-BE49-F238E27FC236}">
              <a16:creationId xmlns:a16="http://schemas.microsoft.com/office/drawing/2014/main" id="{00000000-0008-0000-0500-00002800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214100" y="3886200"/>
          <a:ext cx="990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482600</xdr:colOff>
      <xdr:row>7</xdr:row>
      <xdr:rowOff>101600</xdr:rowOff>
    </xdr:from>
    <xdr:to>
      <xdr:col>16</xdr:col>
      <xdr:colOff>546100</xdr:colOff>
      <xdr:row>8</xdr:row>
      <xdr:rowOff>165100</xdr:rowOff>
    </xdr:to>
    <xdr:pic>
      <xdr:nvPicPr>
        <xdr:cNvPr id="41" name="CheckBox9">
          <a:extLst>
            <a:ext uri="{FF2B5EF4-FFF2-40B4-BE49-F238E27FC236}">
              <a16:creationId xmlns:a16="http://schemas.microsoft.com/office/drawing/2014/main" id="{00000000-0008-0000-0500-000029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214100" y="4229100"/>
          <a:ext cx="8763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17</xdr:col>
      <xdr:colOff>0</xdr:colOff>
      <xdr:row>7</xdr:row>
      <xdr:rowOff>76200</xdr:rowOff>
    </xdr:from>
    <xdr:to>
      <xdr:col>17</xdr:col>
      <xdr:colOff>723900</xdr:colOff>
      <xdr:row>8</xdr:row>
      <xdr:rowOff>101600</xdr:rowOff>
    </xdr:to>
    <xdr:pic>
      <xdr:nvPicPr>
        <xdr:cNvPr id="42" name="CheckBox10">
          <a:extLst>
            <a:ext uri="{FF2B5EF4-FFF2-40B4-BE49-F238E27FC236}">
              <a16:creationId xmlns:a16="http://schemas.microsoft.com/office/drawing/2014/main" id="{00000000-0008-0000-0500-00002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2357100" y="4203700"/>
          <a:ext cx="7239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17</xdr:col>
      <xdr:colOff>0</xdr:colOff>
      <xdr:row>5</xdr:row>
      <xdr:rowOff>177800</xdr:rowOff>
    </xdr:from>
    <xdr:to>
      <xdr:col>17</xdr:col>
      <xdr:colOff>660400</xdr:colOff>
      <xdr:row>7</xdr:row>
      <xdr:rowOff>63500</xdr:rowOff>
    </xdr:to>
    <xdr:pic>
      <xdr:nvPicPr>
        <xdr:cNvPr id="43" name="CheckBox11">
          <a:extLst>
            <a:ext uri="{FF2B5EF4-FFF2-40B4-BE49-F238E27FC236}">
              <a16:creationId xmlns:a16="http://schemas.microsoft.com/office/drawing/2014/main" id="{00000000-0008-0000-0500-00002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2357100" y="3873500"/>
          <a:ext cx="6604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177800</xdr:colOff>
      <xdr:row>152</xdr:row>
      <xdr:rowOff>177800</xdr:rowOff>
    </xdr:from>
    <xdr:to>
      <xdr:col>11</xdr:col>
      <xdr:colOff>546100</xdr:colOff>
      <xdr:row>152</xdr:row>
      <xdr:rowOff>177800</xdr:rowOff>
    </xdr:to>
    <xdr:pic>
      <xdr:nvPicPr>
        <xdr:cNvPr id="44" name="CheckBox13">
          <a:extLst>
            <a:ext uri="{FF2B5EF4-FFF2-40B4-BE49-F238E27FC236}">
              <a16:creationId xmlns:a16="http://schemas.microsoft.com/office/drawing/2014/main" id="{00000000-0008-0000-0500-00002C00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502400" y="20002500"/>
          <a:ext cx="11938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152400</xdr:colOff>
      <xdr:row>152</xdr:row>
      <xdr:rowOff>177800</xdr:rowOff>
    </xdr:from>
    <xdr:to>
      <xdr:col>11</xdr:col>
      <xdr:colOff>482600</xdr:colOff>
      <xdr:row>152</xdr:row>
      <xdr:rowOff>177800</xdr:rowOff>
    </xdr:to>
    <xdr:pic>
      <xdr:nvPicPr>
        <xdr:cNvPr id="45" name="CheckBox14">
          <a:extLst>
            <a:ext uri="{FF2B5EF4-FFF2-40B4-BE49-F238E27FC236}">
              <a16:creationId xmlns:a16="http://schemas.microsoft.com/office/drawing/2014/main" id="{00000000-0008-0000-0500-00002D00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477000" y="20002500"/>
          <a:ext cx="11557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54</xdr:col>
      <xdr:colOff>469900</xdr:colOff>
      <xdr:row>0</xdr:row>
      <xdr:rowOff>254000</xdr:rowOff>
    </xdr:from>
    <xdr:to>
      <xdr:col>59</xdr:col>
      <xdr:colOff>254000</xdr:colOff>
      <xdr:row>0</xdr:row>
      <xdr:rowOff>495300</xdr:rowOff>
    </xdr:to>
    <xdr:pic>
      <xdr:nvPicPr>
        <xdr:cNvPr id="46" name="Forage">
          <a:extLst>
            <a:ext uri="{FF2B5EF4-FFF2-40B4-BE49-F238E27FC236}">
              <a16:creationId xmlns:a16="http://schemas.microsoft.com/office/drawing/2014/main" id="{00000000-0008-0000-0500-00002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778200" y="254000"/>
          <a:ext cx="34671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127000</xdr:colOff>
      <xdr:row>0</xdr:row>
      <xdr:rowOff>127000</xdr:rowOff>
    </xdr:from>
    <xdr:to>
      <xdr:col>3</xdr:col>
      <xdr:colOff>127000</xdr:colOff>
      <xdr:row>0</xdr:row>
      <xdr:rowOff>381000</xdr:rowOff>
    </xdr:to>
    <xdr:pic>
      <xdr:nvPicPr>
        <xdr:cNvPr id="47" name="TempCombo" hidden="1">
          <a:extLst>
            <a:ext uri="{FF2B5EF4-FFF2-40B4-BE49-F238E27FC236}">
              <a16:creationId xmlns:a16="http://schemas.microsoft.com/office/drawing/2014/main" id="{00000000-0008-0000-0500-00002F00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7000" y="127000"/>
          <a:ext cx="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c:userShapes xmlns:c="http://schemas.openxmlformats.org/drawingml/2006/chart">
  <cdr:relSizeAnchor xmlns:cdr="http://schemas.openxmlformats.org/drawingml/2006/chartDrawing">
    <cdr:from>
      <cdr:x>0.03882</cdr:x>
      <cdr:y>0.02846</cdr:y>
    </cdr:from>
    <cdr:to>
      <cdr:x>0.96451</cdr:x>
      <cdr:y>0.08304</cdr:y>
    </cdr:to>
    <cdr:sp macro="" textlink="">
      <cdr:nvSpPr>
        <cdr:cNvPr id="2" name="TextBox 1"/>
        <cdr:cNvSpPr txBox="1"/>
      </cdr:nvSpPr>
      <cdr:spPr>
        <a:xfrm xmlns:a="http://schemas.openxmlformats.org/drawingml/2006/main">
          <a:off x="349249" y="163598"/>
          <a:ext cx="8329083" cy="31371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400" b="1">
              <a:latin typeface="Arial" pitchFamily="34" charset="0"/>
              <a:cs typeface="Arial" pitchFamily="34" charset="0"/>
            </a:rPr>
            <a:t>Grazing System Pasture Forage Growth</a:t>
          </a:r>
          <a:r>
            <a:rPr lang="en-US" sz="1400" b="1" baseline="0">
              <a:latin typeface="Arial" pitchFamily="34" charset="0"/>
              <a:cs typeface="Arial" pitchFamily="34" charset="0"/>
            </a:rPr>
            <a:t> vs. Demand and Accumulated Balance for:</a:t>
          </a:r>
          <a:endParaRPr lang="en-US" sz="1400" b="1">
            <a:latin typeface="Arial" pitchFamily="34" charset="0"/>
            <a:cs typeface="Arial" pitchFamily="34" charset="0"/>
          </a:endParaRPr>
        </a:p>
      </cdr:txBody>
    </cdr:sp>
  </cdr:relSizeAnchor>
  <cdr:relSizeAnchor xmlns:cdr="http://schemas.openxmlformats.org/drawingml/2006/chartDrawing">
    <cdr:from>
      <cdr:x>0.65402</cdr:x>
      <cdr:y>0.09042</cdr:y>
    </cdr:from>
    <cdr:to>
      <cdr:x>0.93628</cdr:x>
      <cdr:y>0.13988</cdr:y>
    </cdr:to>
    <cdr:sp macro="" textlink="ID">
      <cdr:nvSpPr>
        <cdr:cNvPr id="3" name="TextBox 125"/>
        <cdr:cNvSpPr txBox="1"/>
      </cdr:nvSpPr>
      <cdr:spPr>
        <a:xfrm xmlns:a="http://schemas.openxmlformats.org/drawingml/2006/main">
          <a:off x="5883273" y="519621"/>
          <a:ext cx="2539107" cy="28423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53B58D2B-A6DB-4CFD-AABE-1D52EB12B27B}"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0.652</cdr:x>
      <cdr:y>0.13423</cdr:y>
    </cdr:from>
    <cdr:to>
      <cdr:x>0.84631</cdr:x>
      <cdr:y>0.18369</cdr:y>
    </cdr:to>
    <cdr:sp macro="" textlink="Date">
      <cdr:nvSpPr>
        <cdr:cNvPr id="4" name="TextBox 125"/>
        <cdr:cNvSpPr txBox="1"/>
      </cdr:nvSpPr>
      <cdr:spPr>
        <a:xfrm xmlns:a="http://schemas.openxmlformats.org/drawingml/2006/main">
          <a:off x="5865154" y="771401"/>
          <a:ext cx="1747931"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13E01375-D1B9-45F8-97D1-E525813FCE53}"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0.16393</cdr:x>
      <cdr:y>0.09544</cdr:y>
    </cdr:from>
    <cdr:to>
      <cdr:x>0.52718</cdr:x>
      <cdr:y>0.1449</cdr:y>
    </cdr:to>
    <cdr:sp macro="[0]!TextBox125_Click" textlink="Name">
      <cdr:nvSpPr>
        <cdr:cNvPr id="5" name="TextBox 125"/>
        <cdr:cNvSpPr txBox="1"/>
      </cdr:nvSpPr>
      <cdr:spPr>
        <a:xfrm xmlns:a="http://schemas.openxmlformats.org/drawingml/2006/main">
          <a:off x="1363141" y="566934"/>
          <a:ext cx="3020542" cy="29381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1C2B1048-7A82-4597-BED9-C4D698E970F4}"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0.08188</cdr:x>
      <cdr:y>0.09834</cdr:y>
    </cdr:from>
    <cdr:to>
      <cdr:x>0.16762</cdr:x>
      <cdr:y>0.1478</cdr:y>
    </cdr:to>
    <cdr:sp macro="" textlink="">
      <cdr:nvSpPr>
        <cdr:cNvPr id="6" name="TextBox 125"/>
        <cdr:cNvSpPr txBox="1"/>
      </cdr:nvSpPr>
      <cdr:spPr>
        <a:xfrm xmlns:a="http://schemas.openxmlformats.org/drawingml/2006/main">
          <a:off x="680859" y="584181"/>
          <a:ext cx="712966" cy="29381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Name:</a:t>
          </a:r>
        </a:p>
      </cdr:txBody>
    </cdr:sp>
  </cdr:relSizeAnchor>
  <cdr:relSizeAnchor xmlns:cdr="http://schemas.openxmlformats.org/drawingml/2006/chartDrawing">
    <cdr:from>
      <cdr:x>0.54919</cdr:x>
      <cdr:y>0.09006</cdr:y>
    </cdr:from>
    <cdr:to>
      <cdr:x>0.65825</cdr:x>
      <cdr:y>0.13952</cdr:y>
    </cdr:to>
    <cdr:sp macro="" textlink="">
      <cdr:nvSpPr>
        <cdr:cNvPr id="7" name="TextBox 125"/>
        <cdr:cNvSpPr txBox="1"/>
      </cdr:nvSpPr>
      <cdr:spPr>
        <a:xfrm xmlns:a="http://schemas.openxmlformats.org/drawingml/2006/main">
          <a:off x="4940299" y="517525"/>
          <a:ext cx="981075"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System ID:</a:t>
          </a:r>
        </a:p>
      </cdr:txBody>
    </cdr:sp>
  </cdr:relSizeAnchor>
  <cdr:relSizeAnchor xmlns:cdr="http://schemas.openxmlformats.org/drawingml/2006/chartDrawing">
    <cdr:from>
      <cdr:x>0.58484</cdr:x>
      <cdr:y>0.13149</cdr:y>
    </cdr:from>
    <cdr:to>
      <cdr:x>0.65931</cdr:x>
      <cdr:y>0.18095</cdr:y>
    </cdr:to>
    <cdr:sp macro="" textlink="">
      <cdr:nvSpPr>
        <cdr:cNvPr id="8" name="TextBox 125"/>
        <cdr:cNvSpPr txBox="1"/>
      </cdr:nvSpPr>
      <cdr:spPr>
        <a:xfrm xmlns:a="http://schemas.openxmlformats.org/drawingml/2006/main">
          <a:off x="5260975" y="755650"/>
          <a:ext cx="669924"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Date:</a:t>
          </a:r>
        </a:p>
      </cdr:txBody>
    </cdr:sp>
  </cdr:relSizeAnchor>
  <cdr:relSizeAnchor xmlns:cdr="http://schemas.openxmlformats.org/drawingml/2006/chartDrawing">
    <cdr:from>
      <cdr:x>0.01479</cdr:x>
      <cdr:y>0.2818</cdr:y>
    </cdr:from>
    <cdr:to>
      <cdr:x>0.0472</cdr:x>
      <cdr:y>0.71471</cdr:y>
    </cdr:to>
    <cdr:sp macro="" textlink="">
      <cdr:nvSpPr>
        <cdr:cNvPr id="9" name="TextBox 8"/>
        <cdr:cNvSpPr txBox="1"/>
      </cdr:nvSpPr>
      <cdr:spPr>
        <a:xfrm xmlns:a="http://schemas.openxmlformats.org/drawingml/2006/main">
          <a:off x="133349" y="1620309"/>
          <a:ext cx="292100" cy="2489200"/>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n-US" sz="1200">
              <a:latin typeface="Arial" pitchFamily="34" charset="0"/>
              <a:cs typeface="Arial" pitchFamily="34" charset="0"/>
            </a:rPr>
            <a:t>Lbs of Forage</a:t>
          </a:r>
        </a:p>
      </cdr:txBody>
    </cdr:sp>
  </cdr:relSizeAnchor>
</c:userShapes>
</file>

<file path=xl/drawings/drawing6.xml><?xml version="1.0" encoding="utf-8"?>
<c:userShapes xmlns:c="http://schemas.openxmlformats.org/drawingml/2006/chart">
  <cdr:relSizeAnchor xmlns:cdr="http://schemas.openxmlformats.org/drawingml/2006/chartDrawing">
    <cdr:from>
      <cdr:x>0.08498</cdr:x>
      <cdr:y>0.0313</cdr:y>
    </cdr:from>
    <cdr:to>
      <cdr:x>0.96675</cdr:x>
      <cdr:y>0.09815</cdr:y>
    </cdr:to>
    <cdr:sp macro="" textlink="">
      <cdr:nvSpPr>
        <cdr:cNvPr id="2" name="TextBox 1"/>
        <cdr:cNvSpPr txBox="1"/>
      </cdr:nvSpPr>
      <cdr:spPr>
        <a:xfrm xmlns:a="http://schemas.openxmlformats.org/drawingml/2006/main">
          <a:off x="730252" y="178880"/>
          <a:ext cx="7577666" cy="382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400" b="1">
              <a:latin typeface="Arial" pitchFamily="34" charset="0"/>
              <a:cs typeface="Arial" pitchFamily="34" charset="0"/>
            </a:rPr>
            <a:t>Alternative Pasture Forage Growth</a:t>
          </a:r>
          <a:r>
            <a:rPr lang="en-US" sz="1400" b="1" baseline="0">
              <a:latin typeface="Arial" pitchFamily="34" charset="0"/>
              <a:cs typeface="Arial" pitchFamily="34" charset="0"/>
            </a:rPr>
            <a:t> vs. Demand and Accumulated Balance for:</a:t>
          </a:r>
          <a:endParaRPr lang="en-US" sz="1400" b="1">
            <a:latin typeface="Arial" pitchFamily="34" charset="0"/>
            <a:cs typeface="Arial" pitchFamily="34" charset="0"/>
          </a:endParaRPr>
        </a:p>
      </cdr:txBody>
    </cdr:sp>
  </cdr:relSizeAnchor>
  <cdr:relSizeAnchor xmlns:cdr="http://schemas.openxmlformats.org/drawingml/2006/chartDrawing">
    <cdr:from>
      <cdr:x>0.19603</cdr:x>
      <cdr:y>0.10212</cdr:y>
    </cdr:from>
    <cdr:to>
      <cdr:x>0.57635</cdr:x>
      <cdr:y>0.15186</cdr:y>
    </cdr:to>
    <cdr:sp macro="" textlink="Name">
      <cdr:nvSpPr>
        <cdr:cNvPr id="3" name="TextBox 125"/>
        <cdr:cNvSpPr txBox="1"/>
      </cdr:nvSpPr>
      <cdr:spPr>
        <a:xfrm xmlns:a="http://schemas.openxmlformats.org/drawingml/2006/main">
          <a:off x="1605763" y="606616"/>
          <a:ext cx="3115391" cy="29547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F7DD13A9-0332-4D94-AF3C-B184FE3BD444}"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0.65332</cdr:x>
      <cdr:y>0.10187</cdr:y>
    </cdr:from>
    <cdr:to>
      <cdr:x>0.93662</cdr:x>
      <cdr:y>0.15161</cdr:y>
    </cdr:to>
    <cdr:sp macro="" textlink="ID">
      <cdr:nvSpPr>
        <cdr:cNvPr id="4" name="TextBox 125"/>
        <cdr:cNvSpPr txBox="1"/>
      </cdr:nvSpPr>
      <cdr:spPr>
        <a:xfrm xmlns:a="http://schemas.openxmlformats.org/drawingml/2006/main">
          <a:off x="5576359" y="585340"/>
          <a:ext cx="2418087" cy="28579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8DE17D8A-28C1-4039-8B67-0E20A74B9D1B}"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0.65125</cdr:x>
      <cdr:y>0.1467</cdr:y>
    </cdr:from>
    <cdr:to>
      <cdr:x>0.8547</cdr:x>
      <cdr:y>0.19645</cdr:y>
    </cdr:to>
    <cdr:sp macro="" textlink="Date">
      <cdr:nvSpPr>
        <cdr:cNvPr id="5" name="TextBox 125"/>
        <cdr:cNvSpPr txBox="1"/>
      </cdr:nvSpPr>
      <cdr:spPr>
        <a:xfrm xmlns:a="http://schemas.openxmlformats.org/drawingml/2006/main">
          <a:off x="5558754" y="842887"/>
          <a:ext cx="1736539" cy="285849"/>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458D3874-FB17-4896-8027-8A658E817E9C}"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0.11308</cdr:x>
      <cdr:y>0.10499</cdr:y>
    </cdr:from>
    <cdr:to>
      <cdr:x>0.20633</cdr:x>
      <cdr:y>0.15446</cdr:y>
    </cdr:to>
    <cdr:sp macro="" textlink="">
      <cdr:nvSpPr>
        <cdr:cNvPr id="6" name="TextBox 125"/>
        <cdr:cNvSpPr txBox="1"/>
      </cdr:nvSpPr>
      <cdr:spPr>
        <a:xfrm xmlns:a="http://schemas.openxmlformats.org/drawingml/2006/main">
          <a:off x="926295" y="623685"/>
          <a:ext cx="763865" cy="29387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Name:</a:t>
          </a:r>
        </a:p>
      </cdr:txBody>
    </cdr:sp>
  </cdr:relSizeAnchor>
  <cdr:relSizeAnchor xmlns:cdr="http://schemas.openxmlformats.org/drawingml/2006/chartDrawing">
    <cdr:from>
      <cdr:x>0.54718</cdr:x>
      <cdr:y>0.10333</cdr:y>
    </cdr:from>
    <cdr:to>
      <cdr:x>0.66212</cdr:x>
      <cdr:y>0.1528</cdr:y>
    </cdr:to>
    <cdr:sp macro="" textlink="">
      <cdr:nvSpPr>
        <cdr:cNvPr id="7" name="TextBox 125"/>
        <cdr:cNvSpPr txBox="1"/>
      </cdr:nvSpPr>
      <cdr:spPr>
        <a:xfrm xmlns:a="http://schemas.openxmlformats.org/drawingml/2006/main">
          <a:off x="4670425" y="593725"/>
          <a:ext cx="981075"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System ID:</a:t>
          </a:r>
        </a:p>
      </cdr:txBody>
    </cdr:sp>
  </cdr:relSizeAnchor>
  <cdr:relSizeAnchor xmlns:cdr="http://schemas.openxmlformats.org/drawingml/2006/chartDrawing">
    <cdr:from>
      <cdr:x>0.58177</cdr:x>
      <cdr:y>0.14146</cdr:y>
    </cdr:from>
    <cdr:to>
      <cdr:x>0.66026</cdr:x>
      <cdr:y>0.19093</cdr:y>
    </cdr:to>
    <cdr:sp macro="" textlink="">
      <cdr:nvSpPr>
        <cdr:cNvPr id="8" name="TextBox 125"/>
        <cdr:cNvSpPr txBox="1"/>
      </cdr:nvSpPr>
      <cdr:spPr>
        <a:xfrm xmlns:a="http://schemas.openxmlformats.org/drawingml/2006/main">
          <a:off x="4965700" y="812800"/>
          <a:ext cx="669924"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Date:</a:t>
          </a:r>
        </a:p>
      </cdr:txBody>
    </cdr:sp>
  </cdr:relSizeAnchor>
  <cdr:relSizeAnchor xmlns:cdr="http://schemas.openxmlformats.org/drawingml/2006/chartDrawing">
    <cdr:from>
      <cdr:x>0.01482</cdr:x>
      <cdr:y>0.25626</cdr:y>
    </cdr:from>
    <cdr:to>
      <cdr:x>0.0489</cdr:x>
      <cdr:y>0.68925</cdr:y>
    </cdr:to>
    <cdr:sp macro="" textlink="">
      <cdr:nvSpPr>
        <cdr:cNvPr id="9" name="TextBox 1"/>
        <cdr:cNvSpPr txBox="1"/>
      </cdr:nvSpPr>
      <cdr:spPr>
        <a:xfrm xmlns:a="http://schemas.openxmlformats.org/drawingml/2006/main">
          <a:off x="127000" y="1473200"/>
          <a:ext cx="292100" cy="2489200"/>
        </a:xfrm>
        <a:prstGeom xmlns:a="http://schemas.openxmlformats.org/drawingml/2006/main" prst="rect">
          <a:avLst/>
        </a:prstGeom>
      </cdr:spPr>
      <cdr:txBody>
        <a:bodyPr xmlns:a="http://schemas.openxmlformats.org/drawingml/2006/main" vert="vert270"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latin typeface="Arial" pitchFamily="34" charset="0"/>
              <a:cs typeface="Arial" pitchFamily="34" charset="0"/>
            </a:rPr>
            <a:t>Lbs of Forage</a:t>
          </a:r>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142875</xdr:colOff>
      <xdr:row>127</xdr:row>
      <xdr:rowOff>28575</xdr:rowOff>
    </xdr:from>
    <xdr:to>
      <xdr:col>13</xdr:col>
      <xdr:colOff>542925</xdr:colOff>
      <xdr:row>127</xdr:row>
      <xdr:rowOff>2266950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89</xdr:row>
      <xdr:rowOff>123825</xdr:rowOff>
    </xdr:from>
    <xdr:to>
      <xdr:col>13</xdr:col>
      <xdr:colOff>679449</xdr:colOff>
      <xdr:row>102</xdr:row>
      <xdr:rowOff>60324</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134608</xdr:colOff>
      <xdr:row>117</xdr:row>
      <xdr:rowOff>247649</xdr:rowOff>
    </xdr:from>
    <xdr:ext cx="3685131" cy="2657476"/>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143" b="15143"/>
        <a:stretch/>
      </xdr:blipFill>
      <xdr:spPr bwMode="auto">
        <a:xfrm>
          <a:off x="4163683" y="21335999"/>
          <a:ext cx="3685131" cy="2657476"/>
        </a:xfrm>
        <a:prstGeom prst="rect">
          <a:avLst/>
        </a:prstGeom>
        <a:noFill/>
        <a:ln w="12700">
          <a:solidFill>
            <a:sysClr val="windowText" lastClr="000000"/>
          </a:solidFill>
        </a:ln>
        <a:extLst>
          <a:ext uri="{909E8E84-426E-40DD-AFC4-6F175D3DCCD1}">
            <a14:hiddenFill xmlns:a14="http://schemas.microsoft.com/office/drawing/2010/main">
              <a:solidFill>
                <a:srgbClr val="FFFFFF"/>
              </a:solidFill>
            </a14:hiddenFill>
          </a:ext>
        </a:extLst>
      </xdr:spPr>
    </xdr:pic>
    <xdr:clientData/>
  </xdr:oneCellAnchor>
  <xdr:oneCellAnchor>
    <xdr:from>
      <xdr:col>2</xdr:col>
      <xdr:colOff>161925</xdr:colOff>
      <xdr:row>115</xdr:row>
      <xdr:rowOff>792479</xdr:rowOff>
    </xdr:from>
    <xdr:ext cx="6397669" cy="2207896"/>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4"/>
        <a:srcRect l="3175" t="12418" r="5368" b="6534"/>
        <a:stretch/>
      </xdr:blipFill>
      <xdr:spPr>
        <a:xfrm>
          <a:off x="1390650" y="18470879"/>
          <a:ext cx="6397669" cy="2207896"/>
        </a:xfrm>
        <a:prstGeom prst="rect">
          <a:avLst/>
        </a:prstGeom>
        <a:ln w="12700">
          <a:solidFill>
            <a:schemeClr val="tx1"/>
          </a:solidFill>
        </a:ln>
      </xdr:spPr>
    </xdr:pic>
    <xdr:clientData/>
  </xdr:oneCellAnchor>
</xdr:wsDr>
</file>

<file path=xl/drawings/drawing8.xml><?xml version="1.0" encoding="utf-8"?>
<c:userShapes xmlns:c="http://schemas.openxmlformats.org/drawingml/2006/chart">
  <cdr:relSizeAnchor xmlns:cdr="http://schemas.openxmlformats.org/drawingml/2006/chartDrawing">
    <cdr:from>
      <cdr:x>0.03882</cdr:x>
      <cdr:y>0.02846</cdr:y>
    </cdr:from>
    <cdr:to>
      <cdr:x>0.96451</cdr:x>
      <cdr:y>0.08304</cdr:y>
    </cdr:to>
    <cdr:sp macro="" textlink="">
      <cdr:nvSpPr>
        <cdr:cNvPr id="2" name="TextBox 1"/>
        <cdr:cNvSpPr txBox="1"/>
      </cdr:nvSpPr>
      <cdr:spPr>
        <a:xfrm xmlns:a="http://schemas.openxmlformats.org/drawingml/2006/main">
          <a:off x="349249" y="163598"/>
          <a:ext cx="8329083" cy="31371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latin typeface="Arial" pitchFamily="34" charset="0"/>
              <a:cs typeface="Arial" pitchFamily="34" charset="0"/>
            </a:rPr>
            <a:t>Grazing System Pasture Forage Growth</a:t>
          </a:r>
          <a:r>
            <a:rPr lang="en-US" sz="1000" b="1" baseline="0">
              <a:latin typeface="Arial" pitchFamily="34" charset="0"/>
              <a:cs typeface="Arial" pitchFamily="34" charset="0"/>
            </a:rPr>
            <a:t> vs. Demand and Accumulated Balance</a:t>
          </a:r>
          <a:endParaRPr lang="en-US" sz="1000" b="1">
            <a:latin typeface="Arial" pitchFamily="34" charset="0"/>
            <a:cs typeface="Arial" pitchFamily="34" charset="0"/>
          </a:endParaRPr>
        </a:p>
      </cdr:txBody>
    </cdr:sp>
  </cdr:relSizeAnchor>
  <cdr:relSizeAnchor xmlns:cdr="http://schemas.openxmlformats.org/drawingml/2006/chartDrawing">
    <cdr:from>
      <cdr:x>0.01479</cdr:x>
      <cdr:y>0.2818</cdr:y>
    </cdr:from>
    <cdr:to>
      <cdr:x>0.0472</cdr:x>
      <cdr:y>0.71471</cdr:y>
    </cdr:to>
    <cdr:sp macro="" textlink="">
      <cdr:nvSpPr>
        <cdr:cNvPr id="9" name="TextBox 8"/>
        <cdr:cNvSpPr txBox="1"/>
      </cdr:nvSpPr>
      <cdr:spPr>
        <a:xfrm xmlns:a="http://schemas.openxmlformats.org/drawingml/2006/main">
          <a:off x="133349" y="1620309"/>
          <a:ext cx="292100" cy="2489200"/>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n-US" sz="900">
              <a:latin typeface="Arial" pitchFamily="34" charset="0"/>
              <a:cs typeface="Arial" pitchFamily="34" charset="0"/>
            </a:rPr>
            <a:t>Lbs of Forage</a:t>
          </a:r>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22226</xdr:colOff>
      <xdr:row>32</xdr:row>
      <xdr:rowOff>46355</xdr:rowOff>
    </xdr:from>
    <xdr:to>
      <xdr:col>34</xdr:col>
      <xdr:colOff>271779</xdr:colOff>
      <xdr:row>36</xdr:row>
      <xdr:rowOff>153035</xdr:rowOff>
    </xdr:to>
    <xdr:sp macro="" textlink="">
      <xdr:nvSpPr>
        <xdr:cNvPr id="2" name="Text Box 1">
          <a:extLst>
            <a:ext uri="{FF2B5EF4-FFF2-40B4-BE49-F238E27FC236}">
              <a16:creationId xmlns:a16="http://schemas.microsoft.com/office/drawing/2014/main" id="{00000000-0008-0000-0900-000002000000}"/>
            </a:ext>
          </a:extLst>
        </xdr:cNvPr>
        <xdr:cNvSpPr txBox="1">
          <a:spLocks noChangeArrowheads="1"/>
        </xdr:cNvSpPr>
      </xdr:nvSpPr>
      <xdr:spPr bwMode="auto">
        <a:xfrm>
          <a:off x="22226" y="5959793"/>
          <a:ext cx="8298178" cy="7416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38100</xdr:colOff>
      <xdr:row>73</xdr:row>
      <xdr:rowOff>0</xdr:rowOff>
    </xdr:from>
    <xdr:to>
      <xdr:col>34</xdr:col>
      <xdr:colOff>287653</xdr:colOff>
      <xdr:row>73</xdr:row>
      <xdr:rowOff>0</xdr:rowOff>
    </xdr:to>
    <xdr:sp macro="" textlink="">
      <xdr:nvSpPr>
        <xdr:cNvPr id="2" name="Text Box 1">
          <a:extLst>
            <a:ext uri="{FF2B5EF4-FFF2-40B4-BE49-F238E27FC236}">
              <a16:creationId xmlns:a16="http://schemas.microsoft.com/office/drawing/2014/main" id="{00000000-0008-0000-0A00-000002000000}"/>
            </a:ext>
          </a:extLst>
        </xdr:cNvPr>
        <xdr:cNvSpPr txBox="1">
          <a:spLocks noChangeArrowheads="1"/>
        </xdr:cNvSpPr>
      </xdr:nvSpPr>
      <xdr:spPr bwMode="auto">
        <a:xfrm>
          <a:off x="38100" y="11125200"/>
          <a:ext cx="23566753"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Times New Roman"/>
              <a:cs typeface="Times New Roman"/>
            </a:rPr>
            <a:t> NOTES:  </a:t>
          </a:r>
          <a:r>
            <a:rPr lang="en-US" sz="1000" b="0" i="0" u="none" strike="noStrike" baseline="0">
              <a:solidFill>
                <a:srgbClr val="FF0000"/>
              </a:solidFill>
              <a:latin typeface="Times New Roman"/>
              <a:cs typeface="Times New Roman"/>
            </a:rPr>
            <a:t>Only 41% of all guineagrass plants (mature + juvenile) met the stubble height requirements in NRCS 528 specification; 59% of all guineagrass plants were overgrazed.  All of the juvenile guineagrass plants were less than 6-inches stubble height remaining.  The total percent bareground was high, at 33%.   Clipped production shown above needs to be adjusted for actual %-moisture after the samples air-dry.</a:t>
          </a:r>
          <a:r>
            <a:rPr lang="en-US" sz="800" b="0" i="0" u="none" strike="noStrike" baseline="0">
              <a:solidFill>
                <a:srgbClr val="FF0000"/>
              </a:solidFill>
              <a:latin typeface="Times New Roman"/>
              <a:cs typeface="Times New Roman"/>
            </a:rPr>
            <a:t>  </a:t>
          </a:r>
        </a:p>
      </xdr:txBody>
    </xdr:sp>
    <xdr:clientData/>
  </xdr:twoCellAnchor>
  <xdr:twoCellAnchor>
    <xdr:from>
      <xdr:col>0</xdr:col>
      <xdr:colOff>38100</xdr:colOff>
      <xdr:row>29</xdr:row>
      <xdr:rowOff>30480</xdr:rowOff>
    </xdr:from>
    <xdr:to>
      <xdr:col>34</xdr:col>
      <xdr:colOff>287653</xdr:colOff>
      <xdr:row>33</xdr:row>
      <xdr:rowOff>137160</xdr:rowOff>
    </xdr:to>
    <xdr:sp macro="" textlink="">
      <xdr:nvSpPr>
        <xdr:cNvPr id="3" name="Text Box 3">
          <a:extLst>
            <a:ext uri="{FF2B5EF4-FFF2-40B4-BE49-F238E27FC236}">
              <a16:creationId xmlns:a16="http://schemas.microsoft.com/office/drawing/2014/main" id="{00000000-0008-0000-0A00-000003000000}"/>
            </a:ext>
          </a:extLst>
        </xdr:cNvPr>
        <xdr:cNvSpPr txBox="1">
          <a:spLocks noChangeArrowheads="1"/>
        </xdr:cNvSpPr>
      </xdr:nvSpPr>
      <xdr:spPr bwMode="auto">
        <a:xfrm>
          <a:off x="38100" y="4450080"/>
          <a:ext cx="23566753" cy="7162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Times New Roman"/>
              <a:cs typeface="Times New Roman"/>
            </a:rPr>
            <a:t> </a:t>
          </a:r>
          <a:r>
            <a:rPr lang="en-US" sz="1000" b="0" i="0" u="none" strike="noStrike" baseline="0">
              <a:solidFill>
                <a:srgbClr val="000000"/>
              </a:solidFill>
              <a:latin typeface="Arial"/>
              <a:cs typeface="Arial"/>
            </a:rPr>
            <a:t>NOTES:  </a:t>
          </a:r>
          <a:r>
            <a:rPr lang="en-US" sz="800" b="0" i="0" u="none" strike="noStrike" baseline="0">
              <a:solidFill>
                <a:srgbClr val="FF0000"/>
              </a:solidFill>
              <a:latin typeface="Arial"/>
              <a:cs typeface="Arial"/>
            </a:rPr>
            <a:t>  </a:t>
          </a:r>
        </a:p>
      </xdr:txBody>
    </xdr:sp>
    <xdr:clientData/>
  </xdr:twoCellAnchor>
  <xdr:twoCellAnchor>
    <xdr:from>
      <xdr:col>0</xdr:col>
      <xdr:colOff>38100</xdr:colOff>
      <xdr:row>102</xdr:row>
      <xdr:rowOff>30480</xdr:rowOff>
    </xdr:from>
    <xdr:to>
      <xdr:col>34</xdr:col>
      <xdr:colOff>287653</xdr:colOff>
      <xdr:row>106</xdr:row>
      <xdr:rowOff>137160</xdr:rowOff>
    </xdr:to>
    <xdr:sp macro="" textlink="">
      <xdr:nvSpPr>
        <xdr:cNvPr id="4" name="Text Box 4">
          <a:extLst>
            <a:ext uri="{FF2B5EF4-FFF2-40B4-BE49-F238E27FC236}">
              <a16:creationId xmlns:a16="http://schemas.microsoft.com/office/drawing/2014/main" id="{00000000-0008-0000-0A00-000004000000}"/>
            </a:ext>
          </a:extLst>
        </xdr:cNvPr>
        <xdr:cNvSpPr txBox="1">
          <a:spLocks noChangeArrowheads="1"/>
        </xdr:cNvSpPr>
      </xdr:nvSpPr>
      <xdr:spPr bwMode="auto">
        <a:xfrm>
          <a:off x="38100" y="15575280"/>
          <a:ext cx="23566753" cy="7162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Times New Roman"/>
              <a:cs typeface="Times New Roman"/>
            </a:rPr>
            <a:t> </a:t>
          </a:r>
          <a:r>
            <a:rPr lang="en-US" sz="1000" b="0" i="0" u="none" strike="noStrike" baseline="0">
              <a:solidFill>
                <a:srgbClr val="000000"/>
              </a:solidFill>
              <a:latin typeface="Arial"/>
              <a:cs typeface="Arial"/>
            </a:rPr>
            <a:t>NOTES:  </a:t>
          </a:r>
          <a:r>
            <a:rPr lang="en-US" sz="1000" b="0" i="0" u="none" strike="noStrike" baseline="0">
              <a:solidFill>
                <a:srgbClr val="FF0000"/>
              </a:solidFill>
              <a:latin typeface="Arial"/>
              <a:cs typeface="Arial"/>
            </a:rPr>
            <a:t>Only 41% of all guineagrass plants (mature + juvenile) met the stubble height requirements in NRCS 528 specification; 59% of all guineagrass plants were overgrazed.  All of the juvenile guineagrass plants were less than 6-inches stubble height remaining.  The total percent bareground was high, at 33%.   Clipped production shown above needs to be adjusted for actual %-moisture after the samples air-dry.</a:t>
          </a:r>
          <a:r>
            <a:rPr lang="en-US" sz="800" b="0" i="0" u="none" strike="noStrike" baseline="0">
              <a:solidFill>
                <a:srgbClr val="FF0000"/>
              </a:solidFill>
              <a:latin typeface="Arial"/>
              <a:cs typeface="Arial"/>
            </a:rPr>
            <a:t>  </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95249</xdr:colOff>
      <xdr:row>3</xdr:row>
      <xdr:rowOff>105833</xdr:rowOff>
    </xdr:from>
    <xdr:to>
      <xdr:col>1</xdr:col>
      <xdr:colOff>1494281</xdr:colOff>
      <xdr:row>4</xdr:row>
      <xdr:rowOff>220472</xdr:rowOff>
    </xdr:to>
    <xdr:sp macro="[0]!Summary_TextBox2_Click" textlink="">
      <xdr:nvSpPr>
        <xdr:cNvPr id="3" name="TextBox 2">
          <a:extLst>
            <a:ext uri="{FF2B5EF4-FFF2-40B4-BE49-F238E27FC236}">
              <a16:creationId xmlns:a16="http://schemas.microsoft.com/office/drawing/2014/main" id="{00000000-0008-0000-0C00-000003000000}"/>
            </a:ext>
          </a:extLst>
        </xdr:cNvPr>
        <xdr:cNvSpPr txBox="1"/>
      </xdr:nvSpPr>
      <xdr:spPr>
        <a:xfrm>
          <a:off x="423332" y="645583"/>
          <a:ext cx="1399032" cy="347472"/>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Summary</a:t>
          </a:r>
        </a:p>
      </xdr:txBody>
    </xdr:sp>
    <xdr:clientData fLocksWithSheet="0" fPrintsWithSheet="0"/>
  </xdr:twoCellAnchor>
  <xdr:twoCellAnchor editAs="oneCell">
    <xdr:from>
      <xdr:col>4</xdr:col>
      <xdr:colOff>264583</xdr:colOff>
      <xdr:row>1</xdr:row>
      <xdr:rowOff>52916</xdr:rowOff>
    </xdr:from>
    <xdr:to>
      <xdr:col>6</xdr:col>
      <xdr:colOff>1564216</xdr:colOff>
      <xdr:row>5</xdr:row>
      <xdr:rowOff>95249</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92" t="2972" r="3941" b="3960"/>
        <a:stretch/>
      </xdr:blipFill>
      <xdr:spPr bwMode="auto">
        <a:xfrm>
          <a:off x="7112000" y="211666"/>
          <a:ext cx="3153833" cy="9948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31749</xdr:colOff>
      <xdr:row>1</xdr:row>
      <xdr:rowOff>42333</xdr:rowOff>
    </xdr:from>
    <xdr:to>
      <xdr:col>1</xdr:col>
      <xdr:colOff>1375832</xdr:colOff>
      <xdr:row>2</xdr:row>
      <xdr:rowOff>63500</xdr:rowOff>
    </xdr:to>
    <xdr:sp macro="[0]!TimeControlWorksheet_TextBox1_Click" textlink="">
      <xdr:nvSpPr>
        <xdr:cNvPr id="2" name="TextBox 1">
          <a:extLst>
            <a:ext uri="{FF2B5EF4-FFF2-40B4-BE49-F238E27FC236}">
              <a16:creationId xmlns:a16="http://schemas.microsoft.com/office/drawing/2014/main" id="{00000000-0008-0000-0D00-000002000000}"/>
            </a:ext>
          </a:extLst>
        </xdr:cNvPr>
        <xdr:cNvSpPr txBox="1"/>
      </xdr:nvSpPr>
      <xdr:spPr>
        <a:xfrm>
          <a:off x="370416" y="201083"/>
          <a:ext cx="1344083" cy="275167"/>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Worksheet</a:t>
          </a:r>
        </a:p>
      </xdr:txBody>
    </xdr:sp>
    <xdr:clientData fLocksWithSheet="0" fPrintsWithSheet="0"/>
  </xdr:twoCellAnchor>
  <mc:AlternateContent xmlns:mc="http://schemas.openxmlformats.org/markup-compatibility/2006">
    <mc:Choice xmlns:a14="http://schemas.microsoft.com/office/drawing/2010/main" Requires="a14">
      <xdr:twoCellAnchor editAs="oneCell">
        <xdr:from>
          <xdr:col>13</xdr:col>
          <xdr:colOff>393700</xdr:colOff>
          <xdr:row>9</xdr:row>
          <xdr:rowOff>0</xdr:rowOff>
        </xdr:from>
        <xdr:to>
          <xdr:col>15</xdr:col>
          <xdr:colOff>317500</xdr:colOff>
          <xdr:row>13</xdr:row>
          <xdr:rowOff>101600</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D00-000002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17145</xdr:colOff>
      <xdr:row>1</xdr:row>
      <xdr:rowOff>22861</xdr:rowOff>
    </xdr:from>
    <xdr:to>
      <xdr:col>1</xdr:col>
      <xdr:colOff>731520</xdr:colOff>
      <xdr:row>2</xdr:row>
      <xdr:rowOff>108586</xdr:rowOff>
    </xdr:to>
    <xdr:sp macro="[0]!ForageGrowthCurves_TextBox1_Click" textlink="">
      <xdr:nvSpPr>
        <xdr:cNvPr id="2" name="TextBox 1">
          <a:extLst>
            <a:ext uri="{FF2B5EF4-FFF2-40B4-BE49-F238E27FC236}">
              <a16:creationId xmlns:a16="http://schemas.microsoft.com/office/drawing/2014/main" id="{00000000-0008-0000-0F00-000002000000}"/>
            </a:ext>
          </a:extLst>
        </xdr:cNvPr>
        <xdr:cNvSpPr txBox="1"/>
      </xdr:nvSpPr>
      <xdr:spPr>
        <a:xfrm>
          <a:off x="17145" y="182881"/>
          <a:ext cx="1323975" cy="28384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Return to</a:t>
          </a:r>
          <a:r>
            <a:rPr lang="en-US" sz="1200" baseline="0">
              <a:latin typeface="Arial" pitchFamily="34" charset="0"/>
              <a:cs typeface="Arial" pitchFamily="34" charset="0"/>
            </a:rPr>
            <a:t> Model</a:t>
          </a:r>
          <a:endParaRPr lang="en-US" sz="1200">
            <a:latin typeface="Arial" pitchFamily="34" charset="0"/>
            <a:cs typeface="Arial"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139700</xdr:colOff>
          <xdr:row>4</xdr:row>
          <xdr:rowOff>292100</xdr:rowOff>
        </xdr:from>
        <xdr:to>
          <xdr:col>1</xdr:col>
          <xdr:colOff>406400</xdr:colOff>
          <xdr:row>6</xdr:row>
          <xdr:rowOff>50800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1100-000001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4</xdr:row>
          <xdr:rowOff>304800</xdr:rowOff>
        </xdr:from>
        <xdr:to>
          <xdr:col>2</xdr:col>
          <xdr:colOff>457200</xdr:colOff>
          <xdr:row>6</xdr:row>
          <xdr:rowOff>63500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1100-000002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xdr:colOff>
          <xdr:row>7</xdr:row>
          <xdr:rowOff>63500</xdr:rowOff>
        </xdr:from>
        <xdr:to>
          <xdr:col>1</xdr:col>
          <xdr:colOff>393700</xdr:colOff>
          <xdr:row>9</xdr:row>
          <xdr:rowOff>63500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1100-000003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7</xdr:row>
          <xdr:rowOff>63500</xdr:rowOff>
        </xdr:from>
        <xdr:to>
          <xdr:col>2</xdr:col>
          <xdr:colOff>406400</xdr:colOff>
          <xdr:row>9</xdr:row>
          <xdr:rowOff>63500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1100-000004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10</xdr:row>
          <xdr:rowOff>63500</xdr:rowOff>
        </xdr:from>
        <xdr:to>
          <xdr:col>1</xdr:col>
          <xdr:colOff>406400</xdr:colOff>
          <xdr:row>12</xdr:row>
          <xdr:rowOff>63500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1100-000005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11</xdr:row>
          <xdr:rowOff>0</xdr:rowOff>
        </xdr:from>
        <xdr:to>
          <xdr:col>2</xdr:col>
          <xdr:colOff>406400</xdr:colOff>
          <xdr:row>12</xdr:row>
          <xdr:rowOff>88900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1100-00000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63500</xdr:rowOff>
        </xdr:from>
        <xdr:to>
          <xdr:col>1</xdr:col>
          <xdr:colOff>419100</xdr:colOff>
          <xdr:row>15</xdr:row>
          <xdr:rowOff>63500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1100-000007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13</xdr:row>
          <xdr:rowOff>63500</xdr:rowOff>
        </xdr:from>
        <xdr:to>
          <xdr:col>2</xdr:col>
          <xdr:colOff>406400</xdr:colOff>
          <xdr:row>15</xdr:row>
          <xdr:rowOff>63500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1100-000008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63500</xdr:rowOff>
        </xdr:from>
        <xdr:to>
          <xdr:col>1</xdr:col>
          <xdr:colOff>419100</xdr:colOff>
          <xdr:row>18</xdr:row>
          <xdr:rowOff>76200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1100-000009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16</xdr:row>
          <xdr:rowOff>63500</xdr:rowOff>
        </xdr:from>
        <xdr:to>
          <xdr:col>2</xdr:col>
          <xdr:colOff>431800</xdr:colOff>
          <xdr:row>18</xdr:row>
          <xdr:rowOff>76200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1100-00000A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23</xdr:row>
          <xdr:rowOff>12700</xdr:rowOff>
        </xdr:from>
        <xdr:to>
          <xdr:col>1</xdr:col>
          <xdr:colOff>406400</xdr:colOff>
          <xdr:row>24</xdr:row>
          <xdr:rowOff>63500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1100-00000B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22</xdr:row>
          <xdr:rowOff>50800</xdr:rowOff>
        </xdr:from>
        <xdr:to>
          <xdr:col>2</xdr:col>
          <xdr:colOff>431800</xdr:colOff>
          <xdr:row>24</xdr:row>
          <xdr:rowOff>63500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1100-00000C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19</xdr:row>
          <xdr:rowOff>63500</xdr:rowOff>
        </xdr:from>
        <xdr:to>
          <xdr:col>1</xdr:col>
          <xdr:colOff>406400</xdr:colOff>
          <xdr:row>21</xdr:row>
          <xdr:rowOff>63500</xdr:rowOff>
        </xdr:to>
        <xdr:sp macro="" textlink="">
          <xdr:nvSpPr>
            <xdr:cNvPr id="12301" name="Check Box 13" hidden="1">
              <a:extLst>
                <a:ext uri="{63B3BB69-23CF-44E3-9099-C40C66FF867C}">
                  <a14:compatExt spid="_x0000_s12301"/>
                </a:ext>
                <a:ext uri="{FF2B5EF4-FFF2-40B4-BE49-F238E27FC236}">
                  <a16:creationId xmlns:a16="http://schemas.microsoft.com/office/drawing/2014/main" id="{00000000-0008-0000-1100-00000D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63500</xdr:rowOff>
        </xdr:from>
        <xdr:to>
          <xdr:col>2</xdr:col>
          <xdr:colOff>419100</xdr:colOff>
          <xdr:row>21</xdr:row>
          <xdr:rowOff>63500</xdr:rowOff>
        </xdr:to>
        <xdr:sp macro="" textlink="">
          <xdr:nvSpPr>
            <xdr:cNvPr id="12302" name="Check Box 14" hidden="1">
              <a:extLst>
                <a:ext uri="{63B3BB69-23CF-44E3-9099-C40C66FF867C}">
                  <a14:compatExt spid="_x0000_s12302"/>
                </a:ext>
                <a:ext uri="{FF2B5EF4-FFF2-40B4-BE49-F238E27FC236}">
                  <a16:creationId xmlns:a16="http://schemas.microsoft.com/office/drawing/2014/main" id="{00000000-0008-0000-1100-00000E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25</xdr:row>
          <xdr:rowOff>63500</xdr:rowOff>
        </xdr:from>
        <xdr:to>
          <xdr:col>1</xdr:col>
          <xdr:colOff>406400</xdr:colOff>
          <xdr:row>27</xdr:row>
          <xdr:rowOff>63500</xdr:rowOff>
        </xdr:to>
        <xdr:sp macro="" textlink="">
          <xdr:nvSpPr>
            <xdr:cNvPr id="12303" name="Check Box 15" hidden="1">
              <a:extLst>
                <a:ext uri="{63B3BB69-23CF-44E3-9099-C40C66FF867C}">
                  <a14:compatExt spid="_x0000_s12303"/>
                </a:ext>
                <a:ext uri="{FF2B5EF4-FFF2-40B4-BE49-F238E27FC236}">
                  <a16:creationId xmlns:a16="http://schemas.microsoft.com/office/drawing/2014/main" id="{00000000-0008-0000-1100-00000F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25</xdr:row>
          <xdr:rowOff>63500</xdr:rowOff>
        </xdr:from>
        <xdr:to>
          <xdr:col>2</xdr:col>
          <xdr:colOff>431800</xdr:colOff>
          <xdr:row>27</xdr:row>
          <xdr:rowOff>63500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1100-000010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xdr:from>
      <xdr:col>1</xdr:col>
      <xdr:colOff>85724</xdr:colOff>
      <xdr:row>1</xdr:row>
      <xdr:rowOff>76200</xdr:rowOff>
    </xdr:from>
    <xdr:to>
      <xdr:col>3</xdr:col>
      <xdr:colOff>695324</xdr:colOff>
      <xdr:row>2</xdr:row>
      <xdr:rowOff>152400</xdr:rowOff>
    </xdr:to>
    <xdr:sp macro="[0]!ExplanationsheetforLO_TextBox1_Click" textlink="">
      <xdr:nvSpPr>
        <xdr:cNvPr id="2" name="TextBox 1">
          <a:extLst>
            <a:ext uri="{FF2B5EF4-FFF2-40B4-BE49-F238E27FC236}">
              <a16:creationId xmlns:a16="http://schemas.microsoft.com/office/drawing/2014/main" id="{00000000-0008-0000-1100-000002000000}"/>
            </a:ext>
          </a:extLst>
        </xdr:cNvPr>
        <xdr:cNvSpPr txBox="1"/>
      </xdr:nvSpPr>
      <xdr:spPr>
        <a:xfrm>
          <a:off x="428624" y="238125"/>
          <a:ext cx="1838325" cy="2762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Explanation Sheet</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1</xdr:col>
      <xdr:colOff>77932</xdr:colOff>
      <xdr:row>0</xdr:row>
      <xdr:rowOff>60615</xdr:rowOff>
    </xdr:from>
    <xdr:to>
      <xdr:col>3</xdr:col>
      <xdr:colOff>813955</xdr:colOff>
      <xdr:row>1</xdr:row>
      <xdr:rowOff>142875</xdr:rowOff>
    </xdr:to>
    <xdr:sp macro="[0]!Instructions_TextBox1_Click" textlink="">
      <xdr:nvSpPr>
        <xdr:cNvPr id="2" name="TextBox 1">
          <a:extLst>
            <a:ext uri="{FF2B5EF4-FFF2-40B4-BE49-F238E27FC236}">
              <a16:creationId xmlns:a16="http://schemas.microsoft.com/office/drawing/2014/main" id="{00000000-0008-0000-1200-000002000000}"/>
            </a:ext>
          </a:extLst>
        </xdr:cNvPr>
        <xdr:cNvSpPr txBox="1"/>
      </xdr:nvSpPr>
      <xdr:spPr>
        <a:xfrm>
          <a:off x="373207" y="60615"/>
          <a:ext cx="1231323" cy="23466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Print Instructions</a:t>
          </a:r>
        </a:p>
      </xdr:txBody>
    </xdr:sp>
    <xdr:clientData fLocksWithSheet="0" fPrintsWithSheet="0"/>
  </xdr:twoCellAnchor>
</xdr:wsDr>
</file>

<file path=xl/drawings/drawing16.xml><?xml version="1.0" encoding="utf-8"?>
<xdr:wsDr xmlns:xdr="http://schemas.openxmlformats.org/drawingml/2006/spreadsheetDrawing" xmlns:a="http://schemas.openxmlformats.org/drawingml/2006/main">
  <xdr:twoCellAnchor>
    <xdr:from>
      <xdr:col>3</xdr:col>
      <xdr:colOff>200024</xdr:colOff>
      <xdr:row>7</xdr:row>
      <xdr:rowOff>0</xdr:rowOff>
    </xdr:from>
    <xdr:to>
      <xdr:col>13</xdr:col>
      <xdr:colOff>495299</xdr:colOff>
      <xdr:row>25</xdr:row>
      <xdr:rowOff>147638</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4</xdr:row>
      <xdr:rowOff>66675</xdr:rowOff>
    </xdr:from>
    <xdr:to>
      <xdr:col>2</xdr:col>
      <xdr:colOff>400050</xdr:colOff>
      <xdr:row>5</xdr:row>
      <xdr:rowOff>228600</xdr:rowOff>
    </xdr:to>
    <xdr:sp macro="[0]!PastureGrazingEfficiency_TextBox2_Click" textlink="">
      <xdr:nvSpPr>
        <xdr:cNvPr id="3" name="TextBox 2">
          <a:extLst>
            <a:ext uri="{FF2B5EF4-FFF2-40B4-BE49-F238E27FC236}">
              <a16:creationId xmlns:a16="http://schemas.microsoft.com/office/drawing/2014/main" id="{00000000-0008-0000-1700-000003000000}"/>
            </a:ext>
          </a:extLst>
        </xdr:cNvPr>
        <xdr:cNvSpPr txBox="1"/>
      </xdr:nvSpPr>
      <xdr:spPr>
        <a:xfrm>
          <a:off x="714375" y="1419225"/>
          <a:ext cx="1343025" cy="3143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a:latin typeface="Arial" pitchFamily="34" charset="0"/>
              <a:cs typeface="Arial" pitchFamily="34" charset="0"/>
            </a:rPr>
            <a:t>Return to Model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2</xdr:col>
      <xdr:colOff>85725</xdr:colOff>
      <xdr:row>2</xdr:row>
      <xdr:rowOff>114300</xdr:rowOff>
    </xdr:to>
    <xdr:sp macro="[0]!FSGTables_TextBox4_Click" textlink="">
      <xdr:nvSpPr>
        <xdr:cNvPr id="5" name="TextBox 4">
          <a:extLst>
            <a:ext uri="{FF2B5EF4-FFF2-40B4-BE49-F238E27FC236}">
              <a16:creationId xmlns:a16="http://schemas.microsoft.com/office/drawing/2014/main" id="{00000000-0008-0000-1900-000005000000}"/>
            </a:ext>
          </a:extLst>
        </xdr:cNvPr>
        <xdr:cNvSpPr txBox="1"/>
      </xdr:nvSpPr>
      <xdr:spPr>
        <a:xfrm>
          <a:off x="152400" y="95250"/>
          <a:ext cx="1304925" cy="32385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Return to Model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avid.duvauchelle/AppData/Local/Microsoft/Windows/INetCache/Content.Outlook/8JNQ362A/528%20REVISION_draft44_cw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ep 1. Field Inventory"/>
      <sheetName val="Step 3. FA Balance"/>
      <sheetName val="AnimalDemandCalculation"/>
      <sheetName val="Step 4. Review Summary"/>
      <sheetName val="Step 5. Review TimeControlSched"/>
      <sheetName val="Step 6. Certification"/>
      <sheetName val="ForageGrowthCurves"/>
      <sheetName val="Explanation sheet for L.O. "/>
      <sheetName val="Instructions"/>
      <sheetName val="Module1"/>
      <sheetName val="Module2"/>
      <sheetName val="Module3"/>
      <sheetName val="Climate Instructions"/>
      <sheetName val="PastureGrazingEfficiency"/>
      <sheetName val="HayList"/>
      <sheetName val="FSGTables"/>
      <sheetName val="PrintableLivestockInventory"/>
      <sheetName val="PrintableGrazingInventory"/>
      <sheetName val="PrintableSummaryBalance"/>
      <sheetName val="PrintableHayInventory"/>
    </sheetNames>
    <sheetDataSet>
      <sheetData sheetId="0" refreshError="1"/>
      <sheetData sheetId="1" refreshError="1">
        <row r="4">
          <cell r="AW4" t="str">
            <v>Cow, dry or grass-finish steer</v>
          </cell>
        </row>
        <row r="103">
          <cell r="G103">
            <v>1</v>
          </cell>
          <cell r="J103" t="str">
            <v/>
          </cell>
          <cell r="L103" t="str">
            <v/>
          </cell>
        </row>
        <row r="105">
          <cell r="G105">
            <v>2</v>
          </cell>
          <cell r="J105" t="str">
            <v/>
          </cell>
          <cell r="L105" t="str">
            <v/>
          </cell>
        </row>
        <row r="107">
          <cell r="G107">
            <v>3</v>
          </cell>
          <cell r="J107" t="str">
            <v/>
          </cell>
          <cell r="L107" t="str">
            <v/>
          </cell>
        </row>
        <row r="109">
          <cell r="G109">
            <v>4</v>
          </cell>
          <cell r="J109" t="str">
            <v/>
          </cell>
          <cell r="L109" t="str">
            <v/>
          </cell>
        </row>
        <row r="111">
          <cell r="G111">
            <v>5</v>
          </cell>
          <cell r="J111" t="str">
            <v/>
          </cell>
          <cell r="L111" t="str">
            <v/>
          </cell>
        </row>
        <row r="113">
          <cell r="G113">
            <v>6</v>
          </cell>
          <cell r="J113" t="str">
            <v/>
          </cell>
          <cell r="L113" t="str">
            <v/>
          </cell>
        </row>
        <row r="115">
          <cell r="G115">
            <v>7</v>
          </cell>
          <cell r="J115" t="str">
            <v/>
          </cell>
          <cell r="L115" t="str">
            <v/>
          </cell>
        </row>
        <row r="117">
          <cell r="G117">
            <v>8</v>
          </cell>
          <cell r="J117" t="str">
            <v/>
          </cell>
          <cell r="L117" t="str">
            <v/>
          </cell>
        </row>
        <row r="119">
          <cell r="G119">
            <v>9</v>
          </cell>
          <cell r="J119" t="str">
            <v/>
          </cell>
          <cell r="L119" t="str">
            <v/>
          </cell>
        </row>
        <row r="121">
          <cell r="G121">
            <v>10</v>
          </cell>
          <cell r="J121" t="str">
            <v/>
          </cell>
          <cell r="L121" t="str">
            <v/>
          </cell>
        </row>
        <row r="123">
          <cell r="G123">
            <v>11</v>
          </cell>
          <cell r="J123" t="str">
            <v/>
          </cell>
          <cell r="L123" t="str">
            <v/>
          </cell>
        </row>
        <row r="125">
          <cell r="G125">
            <v>12</v>
          </cell>
          <cell r="J125" t="str">
            <v/>
          </cell>
          <cell r="L125" t="str">
            <v/>
          </cell>
        </row>
        <row r="127">
          <cell r="G127">
            <v>13</v>
          </cell>
          <cell r="J127" t="str">
            <v/>
          </cell>
          <cell r="L127" t="str">
            <v/>
          </cell>
        </row>
        <row r="129">
          <cell r="G129">
            <v>14</v>
          </cell>
          <cell r="J129" t="str">
            <v/>
          </cell>
          <cell r="L129" t="str">
            <v/>
          </cell>
        </row>
        <row r="131">
          <cell r="G131">
            <v>15</v>
          </cell>
          <cell r="J131" t="str">
            <v/>
          </cell>
          <cell r="L131" t="str">
            <v/>
          </cell>
        </row>
        <row r="133">
          <cell r="G133">
            <v>16</v>
          </cell>
          <cell r="J133" t="str">
            <v/>
          </cell>
          <cell r="L133" t="str">
            <v/>
          </cell>
        </row>
        <row r="135">
          <cell r="G135">
            <v>17</v>
          </cell>
          <cell r="J135" t="str">
            <v/>
          </cell>
          <cell r="L135" t="str">
            <v/>
          </cell>
        </row>
        <row r="137">
          <cell r="G137">
            <v>18</v>
          </cell>
          <cell r="J137" t="str">
            <v/>
          </cell>
          <cell r="L137" t="str">
            <v/>
          </cell>
        </row>
        <row r="139">
          <cell r="G139">
            <v>19</v>
          </cell>
          <cell r="J139" t="str">
            <v/>
          </cell>
          <cell r="L139" t="str">
            <v/>
          </cell>
        </row>
        <row r="141">
          <cell r="G141">
            <v>20</v>
          </cell>
          <cell r="J141" t="str">
            <v/>
          </cell>
          <cell r="L141" t="str">
            <v/>
          </cell>
        </row>
        <row r="143">
          <cell r="G143">
            <v>21</v>
          </cell>
          <cell r="J143" t="str">
            <v/>
          </cell>
          <cell r="L143" t="str">
            <v/>
          </cell>
        </row>
        <row r="145">
          <cell r="G145">
            <v>22</v>
          </cell>
          <cell r="J145" t="str">
            <v/>
          </cell>
          <cell r="L145" t="str">
            <v/>
          </cell>
        </row>
        <row r="147">
          <cell r="G147">
            <v>23</v>
          </cell>
          <cell r="J147" t="str">
            <v/>
          </cell>
          <cell r="L147" t="str">
            <v/>
          </cell>
        </row>
        <row r="149">
          <cell r="G149">
            <v>24</v>
          </cell>
          <cell r="J149" t="str">
            <v/>
          </cell>
          <cell r="L149" t="str">
            <v/>
          </cell>
        </row>
        <row r="152">
          <cell r="I152">
            <v>0</v>
          </cell>
        </row>
        <row r="160">
          <cell r="J160" t="str">
            <v/>
          </cell>
        </row>
        <row r="161">
          <cell r="J161" t="str">
            <v/>
          </cell>
        </row>
        <row r="162">
          <cell r="J162" t="str">
            <v/>
          </cell>
        </row>
        <row r="163">
          <cell r="J163" t="str">
            <v/>
          </cell>
        </row>
        <row r="164">
          <cell r="J164" t="str">
            <v/>
          </cell>
        </row>
        <row r="165">
          <cell r="J165" t="str">
            <v/>
          </cell>
        </row>
        <row r="166">
          <cell r="J166" t="str">
            <v/>
          </cell>
        </row>
        <row r="167">
          <cell r="J167" t="str">
            <v/>
          </cell>
        </row>
        <row r="168">
          <cell r="J168" t="str">
            <v/>
          </cell>
        </row>
        <row r="169">
          <cell r="J169" t="str">
            <v/>
          </cell>
        </row>
        <row r="170">
          <cell r="J170" t="str">
            <v/>
          </cell>
          <cell r="L170" t="str">
            <v xml:space="preserve"> </v>
          </cell>
        </row>
        <row r="171">
          <cell r="J171" t="str">
            <v/>
          </cell>
        </row>
        <row r="172">
          <cell r="J172" t="str">
            <v/>
          </cell>
        </row>
        <row r="173">
          <cell r="J173" t="str">
            <v/>
          </cell>
        </row>
        <row r="174">
          <cell r="J174" t="str">
            <v/>
          </cell>
        </row>
        <row r="199">
          <cell r="I199">
            <v>1</v>
          </cell>
        </row>
        <row r="200">
          <cell r="I200">
            <v>1</v>
          </cell>
        </row>
      </sheetData>
      <sheetData sheetId="2" refreshError="1">
        <row r="9">
          <cell r="R9">
            <v>1</v>
          </cell>
        </row>
        <row r="10">
          <cell r="R10">
            <v>2</v>
          </cell>
        </row>
        <row r="11">
          <cell r="R11">
            <v>3</v>
          </cell>
        </row>
        <row r="12">
          <cell r="R12">
            <v>4</v>
          </cell>
        </row>
        <row r="13">
          <cell r="R13">
            <v>5</v>
          </cell>
        </row>
        <row r="14">
          <cell r="R14">
            <v>6</v>
          </cell>
        </row>
        <row r="15">
          <cell r="R15">
            <v>7</v>
          </cell>
        </row>
        <row r="16">
          <cell r="R16">
            <v>8</v>
          </cell>
        </row>
        <row r="17">
          <cell r="R17">
            <v>9</v>
          </cell>
        </row>
        <row r="18">
          <cell r="R18">
            <v>10</v>
          </cell>
        </row>
        <row r="19">
          <cell r="R19">
            <v>11</v>
          </cell>
        </row>
        <row r="20">
          <cell r="R20">
            <v>12</v>
          </cell>
        </row>
        <row r="44">
          <cell r="L44" t="b">
            <v>0</v>
          </cell>
        </row>
        <row r="45">
          <cell r="G45" t="b">
            <v>1</v>
          </cell>
          <cell r="H45" t="b">
            <v>0</v>
          </cell>
          <cell r="I45" t="b">
            <v>0</v>
          </cell>
          <cell r="L45" t="b">
            <v>0</v>
          </cell>
        </row>
        <row r="46">
          <cell r="L46" t="b">
            <v>0</v>
          </cell>
        </row>
        <row r="47">
          <cell r="L47" t="b">
            <v>0</v>
          </cell>
        </row>
        <row r="48">
          <cell r="L48" t="b">
            <v>0</v>
          </cell>
        </row>
        <row r="49">
          <cell r="L49" t="b">
            <v>0</v>
          </cell>
        </row>
        <row r="50">
          <cell r="G50" t="b">
            <v>0</v>
          </cell>
          <cell r="H50" t="b">
            <v>0</v>
          </cell>
        </row>
        <row r="52">
          <cell r="L52" t="b">
            <v>0</v>
          </cell>
        </row>
        <row r="54">
          <cell r="G54" t="b">
            <v>1</v>
          </cell>
          <cell r="H54" t="b">
            <v>0</v>
          </cell>
          <cell r="I54" t="b">
            <v>0</v>
          </cell>
        </row>
        <row r="55">
          <cell r="B55" t="b">
            <v>1</v>
          </cell>
        </row>
        <row r="56">
          <cell r="B56" t="b">
            <v>0</v>
          </cell>
        </row>
        <row r="57">
          <cell r="B57" t="b">
            <v>0</v>
          </cell>
        </row>
        <row r="58">
          <cell r="B58" t="b">
            <v>0</v>
          </cell>
        </row>
        <row r="59">
          <cell r="B59" t="b">
            <v>0</v>
          </cell>
        </row>
        <row r="60">
          <cell r="K60">
            <v>0</v>
          </cell>
        </row>
        <row r="61">
          <cell r="K61">
            <v>0</v>
          </cell>
        </row>
        <row r="62">
          <cell r="K62">
            <v>0</v>
          </cell>
        </row>
        <row r="63">
          <cell r="K63">
            <v>0</v>
          </cell>
        </row>
        <row r="64">
          <cell r="K64">
            <v>0</v>
          </cell>
        </row>
        <row r="65">
          <cell r="K65">
            <v>0</v>
          </cell>
        </row>
        <row r="66">
          <cell r="K66">
            <v>0</v>
          </cell>
        </row>
        <row r="67">
          <cell r="K67">
            <v>0</v>
          </cell>
        </row>
        <row r="68">
          <cell r="K68">
            <v>0</v>
          </cell>
        </row>
        <row r="69">
          <cell r="K69">
            <v>0</v>
          </cell>
        </row>
        <row r="70">
          <cell r="K70">
            <v>0</v>
          </cell>
        </row>
        <row r="71">
          <cell r="B71" t="b">
            <v>1</v>
          </cell>
          <cell r="K71">
            <v>0</v>
          </cell>
        </row>
        <row r="72">
          <cell r="B72" t="b">
            <v>0</v>
          </cell>
          <cell r="K72">
            <v>0</v>
          </cell>
        </row>
        <row r="73">
          <cell r="B73" t="b">
            <v>0</v>
          </cell>
          <cell r="K73">
            <v>0</v>
          </cell>
        </row>
        <row r="74">
          <cell r="K74">
            <v>0</v>
          </cell>
        </row>
        <row r="75">
          <cell r="K75">
            <v>0</v>
          </cell>
        </row>
        <row r="76">
          <cell r="B76" t="b">
            <v>1</v>
          </cell>
          <cell r="K76">
            <v>0</v>
          </cell>
        </row>
        <row r="77">
          <cell r="B77" t="b">
            <v>0</v>
          </cell>
          <cell r="K77">
            <v>0</v>
          </cell>
        </row>
        <row r="78">
          <cell r="B78" t="b">
            <v>0</v>
          </cell>
          <cell r="K78">
            <v>0</v>
          </cell>
        </row>
        <row r="79">
          <cell r="K79">
            <v>0</v>
          </cell>
        </row>
        <row r="80">
          <cell r="K80">
            <v>0</v>
          </cell>
        </row>
        <row r="81">
          <cell r="B81" t="b">
            <v>1</v>
          </cell>
          <cell r="K81">
            <v>0</v>
          </cell>
        </row>
        <row r="82">
          <cell r="B82" t="b">
            <v>0</v>
          </cell>
          <cell r="K82">
            <v>0</v>
          </cell>
        </row>
        <row r="83">
          <cell r="B83" t="b">
            <v>0</v>
          </cell>
          <cell r="K83">
            <v>0</v>
          </cell>
        </row>
        <row r="99">
          <cell r="B99" t="b">
            <v>1</v>
          </cell>
        </row>
        <row r="100">
          <cell r="B100" t="b">
            <v>0</v>
          </cell>
        </row>
        <row r="101">
          <cell r="B101" t="b">
            <v>0</v>
          </cell>
        </row>
      </sheetData>
      <sheetData sheetId="3" refreshError="1"/>
      <sheetData sheetId="4" refreshError="1"/>
      <sheetData sheetId="5" refreshError="1"/>
      <sheetData sheetId="6" refreshError="1">
        <row r="6">
          <cell r="A6" t="str">
            <v/>
          </cell>
          <cell r="B6" t="str">
            <v/>
          </cell>
          <cell r="C6" t="e">
            <v>#DIV/0!</v>
          </cell>
          <cell r="D6" t="e">
            <v>#DIV/0!</v>
          </cell>
          <cell r="E6" t="e">
            <v>#DIV/0!</v>
          </cell>
          <cell r="F6" t="e">
            <v>#DIV/0!</v>
          </cell>
          <cell r="G6" t="e">
            <v>#DIV/0!</v>
          </cell>
          <cell r="H6" t="e">
            <v>#DIV/0!</v>
          </cell>
          <cell r="I6" t="e">
            <v>#DIV/0!</v>
          </cell>
          <cell r="J6" t="e">
            <v>#DIV/0!</v>
          </cell>
          <cell r="K6" t="e">
            <v>#DIV/0!</v>
          </cell>
          <cell r="L6" t="e">
            <v>#DIV/0!</v>
          </cell>
          <cell r="M6" t="e">
            <v>#DIV/0!</v>
          </cell>
          <cell r="N6" t="e">
            <v>#DIV/0!</v>
          </cell>
        </row>
        <row r="7">
          <cell r="A7" t="str">
            <v/>
          </cell>
          <cell r="B7" t="str">
            <v/>
          </cell>
          <cell r="C7" t="e">
            <v>#DIV/0!</v>
          </cell>
          <cell r="D7" t="e">
            <v>#DIV/0!</v>
          </cell>
          <cell r="E7" t="e">
            <v>#DIV/0!</v>
          </cell>
          <cell r="F7" t="e">
            <v>#DIV/0!</v>
          </cell>
          <cell r="G7" t="e">
            <v>#DIV/0!</v>
          </cell>
          <cell r="H7" t="e">
            <v>#DIV/0!</v>
          </cell>
          <cell r="I7" t="e">
            <v>#DIV/0!</v>
          </cell>
          <cell r="J7" t="e">
            <v>#DIV/0!</v>
          </cell>
          <cell r="K7" t="e">
            <v>#DIV/0!</v>
          </cell>
          <cell r="L7" t="e">
            <v>#DIV/0!</v>
          </cell>
          <cell r="M7" t="e">
            <v>#DIV/0!</v>
          </cell>
          <cell r="N7" t="e">
            <v>#DIV/0!</v>
          </cell>
        </row>
        <row r="8">
          <cell r="A8" t="str">
            <v/>
          </cell>
          <cell r="B8" t="str">
            <v/>
          </cell>
          <cell r="C8" t="e">
            <v>#DIV/0!</v>
          </cell>
          <cell r="D8" t="e">
            <v>#DIV/0!</v>
          </cell>
          <cell r="E8" t="e">
            <v>#DIV/0!</v>
          </cell>
          <cell r="F8" t="e">
            <v>#DIV/0!</v>
          </cell>
          <cell r="G8" t="e">
            <v>#DIV/0!</v>
          </cell>
          <cell r="H8" t="e">
            <v>#DIV/0!</v>
          </cell>
          <cell r="I8" t="e">
            <v>#DIV/0!</v>
          </cell>
          <cell r="J8" t="e">
            <v>#DIV/0!</v>
          </cell>
          <cell r="K8" t="e">
            <v>#DIV/0!</v>
          </cell>
          <cell r="L8" t="e">
            <v>#DIV/0!</v>
          </cell>
          <cell r="M8" t="e">
            <v>#DIV/0!</v>
          </cell>
          <cell r="N8" t="e">
            <v>#DIV/0!</v>
          </cell>
        </row>
        <row r="9">
          <cell r="A9" t="str">
            <v/>
          </cell>
          <cell r="B9" t="str">
            <v/>
          </cell>
          <cell r="C9" t="e">
            <v>#DIV/0!</v>
          </cell>
          <cell r="D9" t="e">
            <v>#DIV/0!</v>
          </cell>
          <cell r="E9" t="e">
            <v>#DIV/0!</v>
          </cell>
          <cell r="F9" t="e">
            <v>#DIV/0!</v>
          </cell>
          <cell r="G9" t="e">
            <v>#DIV/0!</v>
          </cell>
          <cell r="H9" t="e">
            <v>#DIV/0!</v>
          </cell>
          <cell r="I9" t="e">
            <v>#DIV/0!</v>
          </cell>
          <cell r="J9" t="e">
            <v>#DIV/0!</v>
          </cell>
          <cell r="K9" t="e">
            <v>#DIV/0!</v>
          </cell>
          <cell r="L9" t="e">
            <v>#DIV/0!</v>
          </cell>
          <cell r="M9" t="e">
            <v>#DIV/0!</v>
          </cell>
          <cell r="N9" t="e">
            <v>#DIV/0!</v>
          </cell>
        </row>
        <row r="10">
          <cell r="A10" t="str">
            <v/>
          </cell>
          <cell r="B10" t="str">
            <v/>
          </cell>
          <cell r="C10" t="e">
            <v>#DIV/0!</v>
          </cell>
          <cell r="D10" t="e">
            <v>#DIV/0!</v>
          </cell>
          <cell r="E10" t="e">
            <v>#DIV/0!</v>
          </cell>
          <cell r="F10" t="e">
            <v>#DIV/0!</v>
          </cell>
          <cell r="G10" t="e">
            <v>#DIV/0!</v>
          </cell>
          <cell r="H10" t="e">
            <v>#DIV/0!</v>
          </cell>
          <cell r="I10" t="e">
            <v>#DIV/0!</v>
          </cell>
          <cell r="J10" t="e">
            <v>#DIV/0!</v>
          </cell>
          <cell r="K10" t="e">
            <v>#DIV/0!</v>
          </cell>
          <cell r="L10" t="e">
            <v>#DIV/0!</v>
          </cell>
          <cell r="M10" t="e">
            <v>#DIV/0!</v>
          </cell>
          <cell r="N10" t="e">
            <v>#DIV/0!</v>
          </cell>
        </row>
        <row r="11">
          <cell r="A11" t="str">
            <v/>
          </cell>
          <cell r="B11" t="str">
            <v/>
          </cell>
          <cell r="C11" t="e">
            <v>#DIV/0!</v>
          </cell>
          <cell r="D11" t="e">
            <v>#DIV/0!</v>
          </cell>
          <cell r="E11" t="e">
            <v>#DIV/0!</v>
          </cell>
          <cell r="F11" t="e">
            <v>#DIV/0!</v>
          </cell>
          <cell r="G11" t="e">
            <v>#DIV/0!</v>
          </cell>
          <cell r="H11" t="e">
            <v>#DIV/0!</v>
          </cell>
          <cell r="I11" t="e">
            <v>#DIV/0!</v>
          </cell>
          <cell r="J11" t="e">
            <v>#DIV/0!</v>
          </cell>
          <cell r="K11" t="e">
            <v>#DIV/0!</v>
          </cell>
          <cell r="L11" t="e">
            <v>#DIV/0!</v>
          </cell>
          <cell r="M11" t="e">
            <v>#DIV/0!</v>
          </cell>
          <cell r="N11" t="e">
            <v>#DIV/0!</v>
          </cell>
        </row>
        <row r="12">
          <cell r="A12" t="str">
            <v/>
          </cell>
          <cell r="B12" t="str">
            <v/>
          </cell>
          <cell r="C12" t="e">
            <v>#DIV/0!</v>
          </cell>
          <cell r="D12" t="e">
            <v>#DIV/0!</v>
          </cell>
          <cell r="E12" t="e">
            <v>#DIV/0!</v>
          </cell>
          <cell r="F12" t="e">
            <v>#DIV/0!</v>
          </cell>
          <cell r="G12" t="e">
            <v>#DIV/0!</v>
          </cell>
          <cell r="H12" t="e">
            <v>#DIV/0!</v>
          </cell>
          <cell r="I12" t="e">
            <v>#DIV/0!</v>
          </cell>
          <cell r="J12" t="e">
            <v>#DIV/0!</v>
          </cell>
          <cell r="K12" t="e">
            <v>#DIV/0!</v>
          </cell>
          <cell r="L12" t="e">
            <v>#DIV/0!</v>
          </cell>
          <cell r="M12" t="e">
            <v>#DIV/0!</v>
          </cell>
          <cell r="N12" t="e">
            <v>#DIV/0!</v>
          </cell>
        </row>
        <row r="13">
          <cell r="A13" t="str">
            <v/>
          </cell>
          <cell r="B13" t="str">
            <v/>
          </cell>
          <cell r="C13" t="e">
            <v>#DIV/0!</v>
          </cell>
          <cell r="D13" t="e">
            <v>#DIV/0!</v>
          </cell>
          <cell r="E13" t="e">
            <v>#DIV/0!</v>
          </cell>
          <cell r="F13" t="e">
            <v>#DIV/0!</v>
          </cell>
          <cell r="G13" t="e">
            <v>#DIV/0!</v>
          </cell>
          <cell r="H13" t="e">
            <v>#DIV/0!</v>
          </cell>
          <cell r="I13" t="e">
            <v>#DIV/0!</v>
          </cell>
          <cell r="J13" t="e">
            <v>#DIV/0!</v>
          </cell>
          <cell r="K13" t="e">
            <v>#DIV/0!</v>
          </cell>
          <cell r="L13" t="e">
            <v>#DIV/0!</v>
          </cell>
          <cell r="M13" t="e">
            <v>#DIV/0!</v>
          </cell>
          <cell r="N13" t="e">
            <v>#DIV/0!</v>
          </cell>
        </row>
        <row r="14">
          <cell r="A14" t="str">
            <v/>
          </cell>
          <cell r="B14" t="str">
            <v/>
          </cell>
          <cell r="C14" t="e">
            <v>#DIV/0!</v>
          </cell>
          <cell r="D14" t="e">
            <v>#DIV/0!</v>
          </cell>
          <cell r="E14" t="e">
            <v>#DIV/0!</v>
          </cell>
          <cell r="F14" t="e">
            <v>#DIV/0!</v>
          </cell>
          <cell r="G14" t="e">
            <v>#DIV/0!</v>
          </cell>
          <cell r="H14" t="e">
            <v>#DIV/0!</v>
          </cell>
          <cell r="I14" t="e">
            <v>#DIV/0!</v>
          </cell>
          <cell r="J14" t="e">
            <v>#DIV/0!</v>
          </cell>
          <cell r="K14" t="e">
            <v>#DIV/0!</v>
          </cell>
          <cell r="L14" t="e">
            <v>#DIV/0!</v>
          </cell>
          <cell r="M14" t="e">
            <v>#DIV/0!</v>
          </cell>
          <cell r="N14" t="e">
            <v>#DIV/0!</v>
          </cell>
        </row>
        <row r="15">
          <cell r="A15" t="str">
            <v/>
          </cell>
          <cell r="B15" t="str">
            <v/>
          </cell>
          <cell r="C15" t="e">
            <v>#DIV/0!</v>
          </cell>
          <cell r="D15" t="e">
            <v>#DIV/0!</v>
          </cell>
          <cell r="E15" t="e">
            <v>#DIV/0!</v>
          </cell>
          <cell r="F15" t="e">
            <v>#DIV/0!</v>
          </cell>
          <cell r="G15" t="e">
            <v>#DIV/0!</v>
          </cell>
          <cell r="H15" t="e">
            <v>#DIV/0!</v>
          </cell>
          <cell r="I15" t="e">
            <v>#DIV/0!</v>
          </cell>
          <cell r="J15" t="e">
            <v>#DIV/0!</v>
          </cell>
          <cell r="K15" t="e">
            <v>#DIV/0!</v>
          </cell>
          <cell r="L15" t="e">
            <v>#DIV/0!</v>
          </cell>
          <cell r="M15" t="e">
            <v>#DIV/0!</v>
          </cell>
          <cell r="N15" t="e">
            <v>#DIV/0!</v>
          </cell>
        </row>
        <row r="16">
          <cell r="A16" t="str">
            <v/>
          </cell>
          <cell r="B16" t="str">
            <v/>
          </cell>
          <cell r="C16" t="e">
            <v>#DIV/0!</v>
          </cell>
          <cell r="D16" t="e">
            <v>#DIV/0!</v>
          </cell>
          <cell r="E16" t="e">
            <v>#DIV/0!</v>
          </cell>
          <cell r="F16" t="e">
            <v>#DIV/0!</v>
          </cell>
          <cell r="G16" t="e">
            <v>#DIV/0!</v>
          </cell>
          <cell r="H16" t="e">
            <v>#DIV/0!</v>
          </cell>
          <cell r="I16" t="e">
            <v>#DIV/0!</v>
          </cell>
          <cell r="J16" t="e">
            <v>#DIV/0!</v>
          </cell>
          <cell r="K16" t="e">
            <v>#DIV/0!</v>
          </cell>
          <cell r="L16" t="e">
            <v>#DIV/0!</v>
          </cell>
          <cell r="M16" t="e">
            <v>#DIV/0!</v>
          </cell>
          <cell r="N16" t="e">
            <v>#DIV/0!</v>
          </cell>
        </row>
        <row r="17">
          <cell r="A17" t="str">
            <v/>
          </cell>
          <cell r="B17" t="str">
            <v/>
          </cell>
          <cell r="C17" t="e">
            <v>#DIV/0!</v>
          </cell>
          <cell r="D17" t="e">
            <v>#DIV/0!</v>
          </cell>
          <cell r="E17" t="e">
            <v>#DIV/0!</v>
          </cell>
          <cell r="F17" t="e">
            <v>#DIV/0!</v>
          </cell>
          <cell r="G17" t="e">
            <v>#DIV/0!</v>
          </cell>
          <cell r="H17" t="e">
            <v>#DIV/0!</v>
          </cell>
          <cell r="I17" t="e">
            <v>#DIV/0!</v>
          </cell>
          <cell r="J17" t="e">
            <v>#DIV/0!</v>
          </cell>
          <cell r="K17" t="e">
            <v>#DIV/0!</v>
          </cell>
          <cell r="L17" t="e">
            <v>#DIV/0!</v>
          </cell>
          <cell r="M17" t="e">
            <v>#DIV/0!</v>
          </cell>
          <cell r="N17" t="e">
            <v>#DIV/0!</v>
          </cell>
        </row>
        <row r="18">
          <cell r="A18" t="str">
            <v/>
          </cell>
          <cell r="B18" t="str">
            <v/>
          </cell>
          <cell r="C18" t="e">
            <v>#DIV/0!</v>
          </cell>
          <cell r="D18" t="e">
            <v>#DIV/0!</v>
          </cell>
          <cell r="E18" t="e">
            <v>#DIV/0!</v>
          </cell>
          <cell r="F18" t="e">
            <v>#DIV/0!</v>
          </cell>
          <cell r="G18" t="e">
            <v>#DIV/0!</v>
          </cell>
          <cell r="H18" t="e">
            <v>#DIV/0!</v>
          </cell>
          <cell r="I18" t="e">
            <v>#DIV/0!</v>
          </cell>
          <cell r="J18" t="e">
            <v>#DIV/0!</v>
          </cell>
          <cell r="K18" t="e">
            <v>#DIV/0!</v>
          </cell>
          <cell r="L18" t="e">
            <v>#DIV/0!</v>
          </cell>
          <cell r="M18" t="e">
            <v>#DIV/0!</v>
          </cell>
          <cell r="N18" t="e">
            <v>#DIV/0!</v>
          </cell>
        </row>
        <row r="19">
          <cell r="A19" t="str">
            <v/>
          </cell>
          <cell r="B19" t="str">
            <v/>
          </cell>
          <cell r="C19" t="e">
            <v>#DIV/0!</v>
          </cell>
          <cell r="D19" t="e">
            <v>#DIV/0!</v>
          </cell>
          <cell r="E19" t="e">
            <v>#DIV/0!</v>
          </cell>
          <cell r="F19" t="e">
            <v>#DIV/0!</v>
          </cell>
          <cell r="G19" t="e">
            <v>#DIV/0!</v>
          </cell>
          <cell r="H19" t="e">
            <v>#DIV/0!</v>
          </cell>
          <cell r="I19" t="e">
            <v>#DIV/0!</v>
          </cell>
          <cell r="J19" t="e">
            <v>#DIV/0!</v>
          </cell>
          <cell r="K19" t="e">
            <v>#DIV/0!</v>
          </cell>
          <cell r="L19" t="e">
            <v>#DIV/0!</v>
          </cell>
          <cell r="M19" t="e">
            <v>#DIV/0!</v>
          </cell>
          <cell r="N19" t="e">
            <v>#DIV/0!</v>
          </cell>
        </row>
        <row r="20">
          <cell r="A20" t="str">
            <v/>
          </cell>
          <cell r="B20" t="str">
            <v/>
          </cell>
          <cell r="C20" t="e">
            <v>#DIV/0!</v>
          </cell>
          <cell r="D20" t="e">
            <v>#DIV/0!</v>
          </cell>
          <cell r="E20" t="e">
            <v>#DIV/0!</v>
          </cell>
          <cell r="F20" t="e">
            <v>#DIV/0!</v>
          </cell>
          <cell r="G20" t="e">
            <v>#DIV/0!</v>
          </cell>
          <cell r="H20" t="e">
            <v>#DIV/0!</v>
          </cell>
          <cell r="I20" t="e">
            <v>#DIV/0!</v>
          </cell>
          <cell r="J20" t="e">
            <v>#DIV/0!</v>
          </cell>
          <cell r="K20" t="e">
            <v>#DIV/0!</v>
          </cell>
          <cell r="L20" t="e">
            <v>#DIV/0!</v>
          </cell>
          <cell r="M20" t="e">
            <v>#DIV/0!</v>
          </cell>
          <cell r="N20" t="e">
            <v>#DIV/0!</v>
          </cell>
        </row>
        <row r="21">
          <cell r="A21" t="str">
            <v/>
          </cell>
          <cell r="B21" t="str">
            <v/>
          </cell>
          <cell r="C21" t="e">
            <v>#DIV/0!</v>
          </cell>
          <cell r="D21" t="e">
            <v>#DIV/0!</v>
          </cell>
          <cell r="E21" t="e">
            <v>#DIV/0!</v>
          </cell>
          <cell r="F21" t="e">
            <v>#DIV/0!</v>
          </cell>
          <cell r="G21" t="e">
            <v>#DIV/0!</v>
          </cell>
          <cell r="H21" t="e">
            <v>#DIV/0!</v>
          </cell>
          <cell r="I21" t="e">
            <v>#DIV/0!</v>
          </cell>
          <cell r="J21" t="e">
            <v>#DIV/0!</v>
          </cell>
          <cell r="K21" t="e">
            <v>#DIV/0!</v>
          </cell>
          <cell r="L21" t="e">
            <v>#DIV/0!</v>
          </cell>
          <cell r="M21" t="e">
            <v>#DIV/0!</v>
          </cell>
          <cell r="N21" t="e">
            <v>#DIV/0!</v>
          </cell>
        </row>
        <row r="22">
          <cell r="A22" t="str">
            <v/>
          </cell>
          <cell r="B22" t="str">
            <v/>
          </cell>
          <cell r="C22" t="e">
            <v>#DIV/0!</v>
          </cell>
          <cell r="D22" t="e">
            <v>#DIV/0!</v>
          </cell>
          <cell r="E22" t="e">
            <v>#DIV/0!</v>
          </cell>
          <cell r="F22" t="e">
            <v>#DIV/0!</v>
          </cell>
          <cell r="G22" t="e">
            <v>#DIV/0!</v>
          </cell>
          <cell r="H22" t="e">
            <v>#DIV/0!</v>
          </cell>
          <cell r="I22" t="e">
            <v>#DIV/0!</v>
          </cell>
          <cell r="J22" t="e">
            <v>#DIV/0!</v>
          </cell>
          <cell r="K22" t="e">
            <v>#DIV/0!</v>
          </cell>
          <cell r="L22" t="e">
            <v>#DIV/0!</v>
          </cell>
          <cell r="M22" t="e">
            <v>#DIV/0!</v>
          </cell>
          <cell r="N22" t="e">
            <v>#DIV/0!</v>
          </cell>
        </row>
        <row r="23">
          <cell r="A23" t="str">
            <v/>
          </cell>
          <cell r="B23" t="str">
            <v/>
          </cell>
          <cell r="C23" t="e">
            <v>#DIV/0!</v>
          </cell>
          <cell r="D23" t="e">
            <v>#DIV/0!</v>
          </cell>
          <cell r="E23" t="e">
            <v>#DIV/0!</v>
          </cell>
          <cell r="F23" t="e">
            <v>#DIV/0!</v>
          </cell>
          <cell r="G23" t="e">
            <v>#DIV/0!</v>
          </cell>
          <cell r="H23" t="e">
            <v>#DIV/0!</v>
          </cell>
          <cell r="I23" t="e">
            <v>#DIV/0!</v>
          </cell>
          <cell r="J23" t="e">
            <v>#DIV/0!</v>
          </cell>
          <cell r="K23" t="e">
            <v>#DIV/0!</v>
          </cell>
          <cell r="L23" t="e">
            <v>#DIV/0!</v>
          </cell>
          <cell r="M23" t="e">
            <v>#DIV/0!</v>
          </cell>
          <cell r="N23" t="e">
            <v>#DIV/0!</v>
          </cell>
        </row>
        <row r="24">
          <cell r="A24" t="str">
            <v/>
          </cell>
          <cell r="B24" t="str">
            <v/>
          </cell>
          <cell r="C24" t="e">
            <v>#DIV/0!</v>
          </cell>
          <cell r="D24" t="e">
            <v>#DIV/0!</v>
          </cell>
          <cell r="E24" t="e">
            <v>#DIV/0!</v>
          </cell>
          <cell r="F24" t="e">
            <v>#DIV/0!</v>
          </cell>
          <cell r="G24" t="e">
            <v>#DIV/0!</v>
          </cell>
          <cell r="H24" t="e">
            <v>#DIV/0!</v>
          </cell>
          <cell r="I24" t="e">
            <v>#DIV/0!</v>
          </cell>
          <cell r="J24" t="e">
            <v>#DIV/0!</v>
          </cell>
          <cell r="K24" t="e">
            <v>#DIV/0!</v>
          </cell>
          <cell r="L24" t="e">
            <v>#DIV/0!</v>
          </cell>
          <cell r="M24" t="e">
            <v>#DIV/0!</v>
          </cell>
          <cell r="N24" t="e">
            <v>#DIV/0!</v>
          </cell>
        </row>
        <row r="25">
          <cell r="A25" t="str">
            <v/>
          </cell>
          <cell r="B25" t="str">
            <v/>
          </cell>
          <cell r="C25" t="e">
            <v>#DIV/0!</v>
          </cell>
          <cell r="D25" t="e">
            <v>#DIV/0!</v>
          </cell>
          <cell r="E25" t="e">
            <v>#DIV/0!</v>
          </cell>
          <cell r="F25" t="e">
            <v>#DIV/0!</v>
          </cell>
          <cell r="G25" t="e">
            <v>#DIV/0!</v>
          </cell>
          <cell r="H25" t="e">
            <v>#DIV/0!</v>
          </cell>
          <cell r="I25" t="e">
            <v>#DIV/0!</v>
          </cell>
          <cell r="J25" t="e">
            <v>#DIV/0!</v>
          </cell>
          <cell r="K25" t="e">
            <v>#DIV/0!</v>
          </cell>
          <cell r="L25" t="e">
            <v>#DIV/0!</v>
          </cell>
          <cell r="M25" t="e">
            <v>#DIV/0!</v>
          </cell>
          <cell r="N25" t="e">
            <v>#DIV/0!</v>
          </cell>
        </row>
        <row r="26">
          <cell r="A26" t="str">
            <v/>
          </cell>
          <cell r="B26" t="str">
            <v/>
          </cell>
          <cell r="C26" t="e">
            <v>#DIV/0!</v>
          </cell>
          <cell r="D26" t="e">
            <v>#DIV/0!</v>
          </cell>
          <cell r="E26" t="e">
            <v>#DIV/0!</v>
          </cell>
          <cell r="F26" t="e">
            <v>#DIV/0!</v>
          </cell>
          <cell r="G26" t="e">
            <v>#DIV/0!</v>
          </cell>
          <cell r="H26" t="e">
            <v>#DIV/0!</v>
          </cell>
          <cell r="I26" t="e">
            <v>#DIV/0!</v>
          </cell>
          <cell r="J26" t="e">
            <v>#DIV/0!</v>
          </cell>
          <cell r="K26" t="e">
            <v>#DIV/0!</v>
          </cell>
          <cell r="L26" t="e">
            <v>#DIV/0!</v>
          </cell>
          <cell r="M26" t="e">
            <v>#DIV/0!</v>
          </cell>
          <cell r="N26" t="e">
            <v>#DIV/0!</v>
          </cell>
        </row>
        <row r="27">
          <cell r="A27" t="str">
            <v/>
          </cell>
          <cell r="B27" t="str">
            <v/>
          </cell>
          <cell r="C27" t="e">
            <v>#DIV/0!</v>
          </cell>
          <cell r="D27" t="e">
            <v>#DIV/0!</v>
          </cell>
          <cell r="E27" t="e">
            <v>#DIV/0!</v>
          </cell>
          <cell r="F27" t="e">
            <v>#DIV/0!</v>
          </cell>
          <cell r="G27" t="e">
            <v>#DIV/0!</v>
          </cell>
          <cell r="H27" t="e">
            <v>#DIV/0!</v>
          </cell>
          <cell r="I27" t="e">
            <v>#DIV/0!</v>
          </cell>
          <cell r="J27" t="e">
            <v>#DIV/0!</v>
          </cell>
          <cell r="K27" t="e">
            <v>#DIV/0!</v>
          </cell>
          <cell r="L27" t="e">
            <v>#DIV/0!</v>
          </cell>
          <cell r="M27" t="e">
            <v>#DIV/0!</v>
          </cell>
          <cell r="N27" t="e">
            <v>#DIV/0!</v>
          </cell>
        </row>
        <row r="28">
          <cell r="A28" t="str">
            <v/>
          </cell>
          <cell r="B28" t="str">
            <v/>
          </cell>
          <cell r="C28" t="e">
            <v>#DIV/0!</v>
          </cell>
          <cell r="D28" t="e">
            <v>#DIV/0!</v>
          </cell>
          <cell r="E28" t="e">
            <v>#DIV/0!</v>
          </cell>
          <cell r="F28" t="e">
            <v>#DIV/0!</v>
          </cell>
          <cell r="G28" t="e">
            <v>#DIV/0!</v>
          </cell>
          <cell r="H28" t="e">
            <v>#DIV/0!</v>
          </cell>
          <cell r="I28" t="e">
            <v>#DIV/0!</v>
          </cell>
          <cell r="J28" t="e">
            <v>#DIV/0!</v>
          </cell>
          <cell r="K28" t="e">
            <v>#DIV/0!</v>
          </cell>
          <cell r="L28" t="e">
            <v>#DIV/0!</v>
          </cell>
          <cell r="M28" t="e">
            <v>#DIV/0!</v>
          </cell>
          <cell r="N28" t="e">
            <v>#DIV/0!</v>
          </cell>
        </row>
        <row r="29">
          <cell r="A29" t="str">
            <v/>
          </cell>
          <cell r="B29" t="str">
            <v/>
          </cell>
          <cell r="C29" t="e">
            <v>#DIV/0!</v>
          </cell>
          <cell r="D29" t="e">
            <v>#DIV/0!</v>
          </cell>
          <cell r="E29" t="e">
            <v>#DIV/0!</v>
          </cell>
          <cell r="F29" t="e">
            <v>#DIV/0!</v>
          </cell>
          <cell r="G29" t="e">
            <v>#DIV/0!</v>
          </cell>
          <cell r="H29" t="e">
            <v>#DIV/0!</v>
          </cell>
          <cell r="I29" t="e">
            <v>#DIV/0!</v>
          </cell>
          <cell r="J29" t="e">
            <v>#DIV/0!</v>
          </cell>
          <cell r="K29" t="e">
            <v>#DIV/0!</v>
          </cell>
          <cell r="L29" t="e">
            <v>#DIV/0!</v>
          </cell>
          <cell r="M29" t="e">
            <v>#DIV/0!</v>
          </cell>
          <cell r="N29" t="e">
            <v>#DIV/0!</v>
          </cell>
        </row>
      </sheetData>
      <sheetData sheetId="7" refreshError="1"/>
      <sheetData sheetId="8" refreshError="1"/>
      <sheetData sheetId="9" refreshError="1"/>
      <sheetData sheetId="10" refreshError="1"/>
      <sheetData sheetId="11" refreshError="1"/>
      <sheetData sheetId="12" refreshError="1"/>
      <sheetData sheetId="13" refreshError="1">
        <row r="9">
          <cell r="B9">
            <v>1</v>
          </cell>
          <cell r="C9">
            <v>25</v>
          </cell>
        </row>
        <row r="10">
          <cell r="B10">
            <v>2</v>
          </cell>
          <cell r="C10">
            <v>28</v>
          </cell>
        </row>
        <row r="11">
          <cell r="B11">
            <v>3</v>
          </cell>
          <cell r="C11">
            <v>32</v>
          </cell>
        </row>
        <row r="12">
          <cell r="B12">
            <v>4</v>
          </cell>
          <cell r="C12">
            <v>35</v>
          </cell>
        </row>
        <row r="13">
          <cell r="B13">
            <v>5</v>
          </cell>
          <cell r="C13">
            <v>38</v>
          </cell>
        </row>
        <row r="14">
          <cell r="B14">
            <v>6</v>
          </cell>
          <cell r="C14">
            <v>41</v>
          </cell>
        </row>
        <row r="15">
          <cell r="B15">
            <v>7</v>
          </cell>
          <cell r="C15">
            <v>43</v>
          </cell>
        </row>
        <row r="16">
          <cell r="B16">
            <v>8</v>
          </cell>
          <cell r="C16">
            <v>50</v>
          </cell>
        </row>
        <row r="17">
          <cell r="B17">
            <v>9</v>
          </cell>
          <cell r="C17">
            <v>51</v>
          </cell>
        </row>
        <row r="18">
          <cell r="B18">
            <v>10</v>
          </cell>
          <cell r="C18">
            <v>55</v>
          </cell>
        </row>
        <row r="19">
          <cell r="B19">
            <v>11</v>
          </cell>
          <cell r="C19">
            <v>60</v>
          </cell>
        </row>
        <row r="20">
          <cell r="B20">
            <v>12</v>
          </cell>
          <cell r="C20">
            <v>63</v>
          </cell>
        </row>
        <row r="21">
          <cell r="B21">
            <v>13</v>
          </cell>
          <cell r="C21">
            <v>65</v>
          </cell>
        </row>
        <row r="22">
          <cell r="B22">
            <v>14</v>
          </cell>
          <cell r="C22">
            <v>65</v>
          </cell>
        </row>
        <row r="23">
          <cell r="B23">
            <v>15</v>
          </cell>
          <cell r="C23">
            <v>66</v>
          </cell>
        </row>
        <row r="24">
          <cell r="B24">
            <v>16</v>
          </cell>
          <cell r="C24">
            <v>66</v>
          </cell>
        </row>
        <row r="25">
          <cell r="B25">
            <v>17</v>
          </cell>
          <cell r="C25">
            <v>66</v>
          </cell>
        </row>
        <row r="26">
          <cell r="B26">
            <v>18</v>
          </cell>
          <cell r="C26">
            <v>67</v>
          </cell>
        </row>
        <row r="27">
          <cell r="B27">
            <v>19</v>
          </cell>
          <cell r="C27">
            <v>67</v>
          </cell>
        </row>
        <row r="28">
          <cell r="B28">
            <v>20</v>
          </cell>
          <cell r="C28">
            <v>67</v>
          </cell>
        </row>
        <row r="29">
          <cell r="B29">
            <v>21</v>
          </cell>
          <cell r="C29">
            <v>68</v>
          </cell>
        </row>
        <row r="30">
          <cell r="B30">
            <v>22</v>
          </cell>
          <cell r="C30">
            <v>68</v>
          </cell>
        </row>
        <row r="31">
          <cell r="B31">
            <v>23</v>
          </cell>
          <cell r="C31">
            <v>68</v>
          </cell>
        </row>
        <row r="32">
          <cell r="B32">
            <v>24</v>
          </cell>
          <cell r="C32">
            <v>68</v>
          </cell>
        </row>
        <row r="33">
          <cell r="B33">
            <v>25</v>
          </cell>
          <cell r="C33">
            <v>68</v>
          </cell>
        </row>
        <row r="34">
          <cell r="B34">
            <v>26</v>
          </cell>
          <cell r="C34">
            <v>69</v>
          </cell>
        </row>
        <row r="35">
          <cell r="B35">
            <v>27</v>
          </cell>
          <cell r="C35">
            <v>69</v>
          </cell>
        </row>
        <row r="36">
          <cell r="B36">
            <v>28</v>
          </cell>
          <cell r="C36">
            <v>69</v>
          </cell>
        </row>
        <row r="37">
          <cell r="B37">
            <v>29</v>
          </cell>
          <cell r="C37">
            <v>69</v>
          </cell>
        </row>
        <row r="38">
          <cell r="B38">
            <v>30</v>
          </cell>
          <cell r="C38">
            <v>69</v>
          </cell>
        </row>
        <row r="39">
          <cell r="B39">
            <v>31</v>
          </cell>
          <cell r="C39">
            <v>69</v>
          </cell>
        </row>
        <row r="40">
          <cell r="B40">
            <v>32</v>
          </cell>
          <cell r="C40">
            <v>69</v>
          </cell>
        </row>
        <row r="41">
          <cell r="B41">
            <v>33</v>
          </cell>
          <cell r="C41">
            <v>69</v>
          </cell>
        </row>
        <row r="42">
          <cell r="B42">
            <v>34</v>
          </cell>
          <cell r="C42">
            <v>69</v>
          </cell>
        </row>
        <row r="43">
          <cell r="B43">
            <v>35</v>
          </cell>
          <cell r="C43">
            <v>69</v>
          </cell>
        </row>
        <row r="44">
          <cell r="B44">
            <v>36</v>
          </cell>
          <cell r="C44">
            <v>69</v>
          </cell>
        </row>
        <row r="45">
          <cell r="B45">
            <v>37</v>
          </cell>
          <cell r="C45">
            <v>69</v>
          </cell>
        </row>
        <row r="46">
          <cell r="B46">
            <v>38</v>
          </cell>
          <cell r="C46">
            <v>69</v>
          </cell>
        </row>
        <row r="47">
          <cell r="B47">
            <v>39</v>
          </cell>
          <cell r="C47">
            <v>69</v>
          </cell>
        </row>
        <row r="48">
          <cell r="B48">
            <v>40</v>
          </cell>
          <cell r="C48">
            <v>69</v>
          </cell>
        </row>
        <row r="49">
          <cell r="B49">
            <v>41</v>
          </cell>
          <cell r="C49">
            <v>69</v>
          </cell>
        </row>
        <row r="50">
          <cell r="B50">
            <v>42</v>
          </cell>
          <cell r="C50">
            <v>69</v>
          </cell>
        </row>
        <row r="51">
          <cell r="B51">
            <v>43</v>
          </cell>
          <cell r="C51">
            <v>69</v>
          </cell>
        </row>
        <row r="52">
          <cell r="B52">
            <v>44</v>
          </cell>
          <cell r="C52">
            <v>69</v>
          </cell>
        </row>
        <row r="53">
          <cell r="B53">
            <v>45</v>
          </cell>
          <cell r="C53">
            <v>69</v>
          </cell>
        </row>
        <row r="54">
          <cell r="B54">
            <v>46</v>
          </cell>
          <cell r="C54">
            <v>69</v>
          </cell>
        </row>
        <row r="55">
          <cell r="B55">
            <v>47</v>
          </cell>
          <cell r="C55">
            <v>69</v>
          </cell>
        </row>
        <row r="56">
          <cell r="B56">
            <v>48</v>
          </cell>
          <cell r="C56">
            <v>69</v>
          </cell>
        </row>
        <row r="57">
          <cell r="B57">
            <v>49</v>
          </cell>
          <cell r="C57">
            <v>69</v>
          </cell>
        </row>
        <row r="58">
          <cell r="B58">
            <v>50</v>
          </cell>
          <cell r="C58">
            <v>69</v>
          </cell>
        </row>
        <row r="59">
          <cell r="B59">
            <v>51</v>
          </cell>
          <cell r="C59">
            <v>69</v>
          </cell>
        </row>
        <row r="60">
          <cell r="B60">
            <v>52</v>
          </cell>
          <cell r="C60">
            <v>69</v>
          </cell>
        </row>
        <row r="61">
          <cell r="B61">
            <v>53</v>
          </cell>
          <cell r="C61">
            <v>69</v>
          </cell>
        </row>
        <row r="62">
          <cell r="B62">
            <v>54</v>
          </cell>
          <cell r="C62">
            <v>69</v>
          </cell>
        </row>
        <row r="63">
          <cell r="B63">
            <v>55</v>
          </cell>
          <cell r="C63">
            <v>69</v>
          </cell>
        </row>
        <row r="64">
          <cell r="B64">
            <v>56</v>
          </cell>
          <cell r="C64">
            <v>69</v>
          </cell>
        </row>
        <row r="65">
          <cell r="B65">
            <v>57</v>
          </cell>
          <cell r="C65">
            <v>69</v>
          </cell>
        </row>
        <row r="66">
          <cell r="B66">
            <v>58</v>
          </cell>
          <cell r="C66">
            <v>69</v>
          </cell>
        </row>
        <row r="67">
          <cell r="B67">
            <v>59</v>
          </cell>
          <cell r="C67">
            <v>69</v>
          </cell>
        </row>
        <row r="68">
          <cell r="B68">
            <v>60</v>
          </cell>
          <cell r="C68">
            <v>69</v>
          </cell>
        </row>
        <row r="69">
          <cell r="B69">
            <v>61</v>
          </cell>
          <cell r="C69">
            <v>69</v>
          </cell>
        </row>
        <row r="70">
          <cell r="B70">
            <v>62</v>
          </cell>
          <cell r="C70">
            <v>69</v>
          </cell>
        </row>
        <row r="71">
          <cell r="B71">
            <v>63</v>
          </cell>
          <cell r="C71">
            <v>69</v>
          </cell>
        </row>
        <row r="72">
          <cell r="B72">
            <v>64</v>
          </cell>
          <cell r="C72">
            <v>69</v>
          </cell>
        </row>
        <row r="73">
          <cell r="B73">
            <v>65</v>
          </cell>
          <cell r="C73">
            <v>69</v>
          </cell>
        </row>
        <row r="74">
          <cell r="B74">
            <v>66</v>
          </cell>
          <cell r="C74">
            <v>69</v>
          </cell>
        </row>
        <row r="75">
          <cell r="B75">
            <v>67</v>
          </cell>
          <cell r="C75">
            <v>69</v>
          </cell>
        </row>
        <row r="76">
          <cell r="B76">
            <v>68</v>
          </cell>
          <cell r="C76">
            <v>69</v>
          </cell>
        </row>
        <row r="77">
          <cell r="B77">
            <v>69</v>
          </cell>
          <cell r="C77">
            <v>69</v>
          </cell>
        </row>
        <row r="78">
          <cell r="B78">
            <v>70</v>
          </cell>
          <cell r="C78">
            <v>69</v>
          </cell>
        </row>
        <row r="79">
          <cell r="B79">
            <v>71</v>
          </cell>
          <cell r="C79">
            <v>69</v>
          </cell>
        </row>
        <row r="80">
          <cell r="B80">
            <v>72</v>
          </cell>
          <cell r="C80">
            <v>69</v>
          </cell>
        </row>
        <row r="81">
          <cell r="B81">
            <v>73</v>
          </cell>
          <cell r="C81">
            <v>69</v>
          </cell>
        </row>
        <row r="82">
          <cell r="B82">
            <v>74</v>
          </cell>
          <cell r="C82">
            <v>69</v>
          </cell>
        </row>
        <row r="83">
          <cell r="B83">
            <v>75</v>
          </cell>
          <cell r="C83">
            <v>69</v>
          </cell>
        </row>
        <row r="84">
          <cell r="B84">
            <v>76</v>
          </cell>
          <cell r="C84">
            <v>69</v>
          </cell>
        </row>
        <row r="85">
          <cell r="B85">
            <v>77</v>
          </cell>
          <cell r="C85">
            <v>69</v>
          </cell>
        </row>
        <row r="86">
          <cell r="B86">
            <v>78</v>
          </cell>
          <cell r="C86">
            <v>69</v>
          </cell>
        </row>
        <row r="87">
          <cell r="B87">
            <v>79</v>
          </cell>
          <cell r="C87">
            <v>69</v>
          </cell>
        </row>
        <row r="88">
          <cell r="B88">
            <v>80</v>
          </cell>
          <cell r="C88">
            <v>69</v>
          </cell>
        </row>
        <row r="89">
          <cell r="B89">
            <v>81</v>
          </cell>
          <cell r="C89">
            <v>69</v>
          </cell>
        </row>
        <row r="90">
          <cell r="B90">
            <v>82</v>
          </cell>
          <cell r="C90">
            <v>69</v>
          </cell>
        </row>
        <row r="91">
          <cell r="B91">
            <v>83</v>
          </cell>
          <cell r="C91">
            <v>69</v>
          </cell>
        </row>
        <row r="92">
          <cell r="B92">
            <v>84</v>
          </cell>
          <cell r="C92">
            <v>69</v>
          </cell>
        </row>
        <row r="93">
          <cell r="B93">
            <v>85</v>
          </cell>
          <cell r="C93">
            <v>69</v>
          </cell>
        </row>
        <row r="94">
          <cell r="B94">
            <v>86</v>
          </cell>
          <cell r="C94">
            <v>69</v>
          </cell>
        </row>
        <row r="95">
          <cell r="B95">
            <v>87</v>
          </cell>
          <cell r="C95">
            <v>69</v>
          </cell>
        </row>
        <row r="96">
          <cell r="B96">
            <v>88</v>
          </cell>
          <cell r="C96">
            <v>69</v>
          </cell>
        </row>
        <row r="97">
          <cell r="B97">
            <v>89</v>
          </cell>
          <cell r="C97">
            <v>69</v>
          </cell>
        </row>
        <row r="98">
          <cell r="B98">
            <v>90</v>
          </cell>
          <cell r="C98">
            <v>69</v>
          </cell>
        </row>
        <row r="99">
          <cell r="B99">
            <v>91</v>
          </cell>
          <cell r="C99">
            <v>69</v>
          </cell>
        </row>
        <row r="100">
          <cell r="B100">
            <v>92</v>
          </cell>
          <cell r="C100">
            <v>69</v>
          </cell>
        </row>
        <row r="101">
          <cell r="B101">
            <v>93</v>
          </cell>
          <cell r="C101">
            <v>69</v>
          </cell>
        </row>
        <row r="102">
          <cell r="B102">
            <v>94</v>
          </cell>
          <cell r="C102">
            <v>69</v>
          </cell>
        </row>
        <row r="103">
          <cell r="B103">
            <v>95</v>
          </cell>
          <cell r="C103">
            <v>69</v>
          </cell>
        </row>
        <row r="104">
          <cell r="B104">
            <v>96</v>
          </cell>
          <cell r="C104">
            <v>69</v>
          </cell>
        </row>
        <row r="105">
          <cell r="B105">
            <v>97</v>
          </cell>
          <cell r="C105">
            <v>69</v>
          </cell>
        </row>
        <row r="106">
          <cell r="B106">
            <v>98</v>
          </cell>
          <cell r="C106">
            <v>69</v>
          </cell>
        </row>
        <row r="107">
          <cell r="B107">
            <v>99</v>
          </cell>
          <cell r="C107">
            <v>69</v>
          </cell>
        </row>
        <row r="108">
          <cell r="B108">
            <v>100</v>
          </cell>
          <cell r="C108">
            <v>69</v>
          </cell>
        </row>
      </sheetData>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ctrlProp" Target="../ctrlProps/ctrlProp5.xml"/><Relationship Id="rId5" Type="http://schemas.openxmlformats.org/officeDocument/2006/relationships/image" Target="../media/image1.emf"/><Relationship Id="rId10" Type="http://schemas.openxmlformats.org/officeDocument/2006/relationships/ctrlProp" Target="../ctrlProps/ctrlProp4.xml"/><Relationship Id="rId4" Type="http://schemas.openxmlformats.org/officeDocument/2006/relationships/oleObject" Target="../embeddings/oleObject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evapotranspiration.geography.hawaii.edu/interactivemap.html"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climate.geography.hawaii.edu/interactivemap.html"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climate.geography.hawaii.edu/interactivemap.html" TargetMode="External"/><Relationship Id="rId1" Type="http://schemas.openxmlformats.org/officeDocument/2006/relationships/hyperlink" Target="https://websoilsurvey.sc.egov.usda.gov/App/HomePage.htm"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20.emf"/><Relationship Id="rId4" Type="http://schemas.openxmlformats.org/officeDocument/2006/relationships/oleObject" Target="../embeddings/oleObject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14.xml"/><Relationship Id="rId16" Type="http://schemas.openxmlformats.org/officeDocument/2006/relationships/ctrlProp" Target="../ctrlProps/ctrlProp19.xml"/><Relationship Id="rId1" Type="http://schemas.openxmlformats.org/officeDocument/2006/relationships/printerSettings" Target="../printerSettings/printerSettings16.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4EEBB-DB71-4DE6-A15C-5F4E75EA8D1A}">
  <sheetPr codeName="Sheet7">
    <tabColor rgb="FFFFFF00"/>
  </sheetPr>
  <dimension ref="A1:AA338"/>
  <sheetViews>
    <sheetView zoomScale="80" zoomScaleNormal="80" workbookViewId="0">
      <selection activeCell="C83" sqref="C83:D83"/>
    </sheetView>
  </sheetViews>
  <sheetFormatPr baseColWidth="10" defaultColWidth="8.83203125" defaultRowHeight="14"/>
  <cols>
    <col min="2" max="2" width="7.1640625" customWidth="1"/>
    <col min="3" max="8" width="14.1640625" customWidth="1"/>
    <col min="9" max="10" width="6.1640625" customWidth="1"/>
    <col min="14" max="14" width="11" customWidth="1"/>
  </cols>
  <sheetData>
    <row r="1" spans="1:27">
      <c r="A1" s="202"/>
      <c r="B1" s="1784" t="s">
        <v>729</v>
      </c>
      <c r="C1" s="1785"/>
      <c r="D1" s="1785"/>
      <c r="E1" s="1785"/>
      <c r="F1" s="1785"/>
      <c r="G1" s="1785"/>
      <c r="H1" s="1785"/>
      <c r="I1" s="1785"/>
      <c r="J1" s="1786"/>
      <c r="K1" s="202"/>
      <c r="L1" s="202"/>
      <c r="M1" s="202"/>
      <c r="N1" s="202"/>
      <c r="O1" s="202"/>
      <c r="P1" s="202"/>
      <c r="Q1" s="202"/>
      <c r="R1" s="202"/>
      <c r="S1" s="202"/>
      <c r="T1" s="202"/>
      <c r="U1" s="202"/>
      <c r="V1" s="202"/>
      <c r="W1" s="202"/>
      <c r="X1" s="202"/>
      <c r="Y1" s="202"/>
      <c r="Z1" s="202"/>
      <c r="AA1" s="202"/>
    </row>
    <row r="2" spans="1:27" ht="15" thickBot="1">
      <c r="A2" s="202"/>
      <c r="B2" s="1787"/>
      <c r="C2" s="1788"/>
      <c r="D2" s="1788"/>
      <c r="E2" s="1788"/>
      <c r="F2" s="1788"/>
      <c r="G2" s="1788"/>
      <c r="H2" s="1788"/>
      <c r="I2" s="1788"/>
      <c r="J2" s="1789"/>
      <c r="K2" s="202"/>
      <c r="L2" s="202"/>
      <c r="M2" s="202"/>
      <c r="N2" s="202"/>
      <c r="O2" s="202"/>
      <c r="P2" s="202"/>
      <c r="Q2" s="202"/>
      <c r="R2" s="202"/>
      <c r="S2" s="202"/>
      <c r="T2" s="202"/>
      <c r="U2" s="202"/>
      <c r="V2" s="202"/>
      <c r="W2" s="202"/>
      <c r="X2" s="202"/>
      <c r="Y2" s="202"/>
      <c r="Z2" s="202"/>
      <c r="AA2" s="202"/>
    </row>
    <row r="3" spans="1:27" ht="60" customHeight="1">
      <c r="A3" s="202"/>
      <c r="B3" s="1770" t="s">
        <v>615</v>
      </c>
      <c r="C3" s="1771"/>
      <c r="D3" s="1771"/>
      <c r="E3" s="1771"/>
      <c r="F3" s="1771"/>
      <c r="G3" s="1771"/>
      <c r="H3" s="1771"/>
      <c r="I3" s="1771"/>
      <c r="J3" s="1772"/>
      <c r="L3" s="202"/>
      <c r="M3" s="480"/>
      <c r="N3" s="202"/>
      <c r="O3" s="202"/>
      <c r="P3" s="202"/>
      <c r="Q3" s="202"/>
      <c r="R3" s="202"/>
      <c r="S3" s="202"/>
      <c r="T3" s="202"/>
      <c r="U3" s="202"/>
      <c r="V3" s="202"/>
      <c r="W3" s="202"/>
      <c r="X3" s="202"/>
      <c r="Y3" s="202"/>
      <c r="Z3" s="202"/>
      <c r="AA3" s="202"/>
    </row>
    <row r="4" spans="1:27" ht="15">
      <c r="A4" s="202"/>
      <c r="B4" s="535"/>
      <c r="C4" s="480"/>
      <c r="D4" s="480"/>
      <c r="E4" s="480"/>
      <c r="F4" s="480"/>
      <c r="G4" s="480"/>
      <c r="H4" s="480"/>
      <c r="I4" s="480"/>
      <c r="J4" s="536"/>
      <c r="L4" s="202"/>
      <c r="M4" s="480"/>
      <c r="N4" s="202"/>
      <c r="O4" s="202"/>
      <c r="P4" s="202"/>
      <c r="Q4" s="202"/>
      <c r="R4" s="202"/>
      <c r="S4" s="202"/>
      <c r="T4" s="202"/>
      <c r="U4" s="202"/>
      <c r="V4" s="202"/>
      <c r="W4" s="202"/>
      <c r="X4" s="202"/>
      <c r="Y4" s="202"/>
      <c r="Z4" s="202"/>
      <c r="AA4" s="202"/>
    </row>
    <row r="5" spans="1:27" ht="18">
      <c r="A5" s="202"/>
      <c r="B5" s="537"/>
      <c r="C5" s="480"/>
      <c r="D5" s="538" t="s">
        <v>606</v>
      </c>
      <c r="E5" s="539"/>
      <c r="F5" s="480"/>
      <c r="G5" s="480"/>
      <c r="H5" s="480"/>
      <c r="I5" s="480"/>
      <c r="J5" s="536"/>
      <c r="L5" s="202"/>
      <c r="M5" s="480"/>
      <c r="N5" s="202"/>
      <c r="O5" s="202"/>
      <c r="P5" s="202"/>
      <c r="Q5" s="202"/>
      <c r="R5" s="202"/>
      <c r="S5" s="202"/>
      <c r="T5" s="202"/>
      <c r="U5" s="202"/>
      <c r="V5" s="202"/>
      <c r="W5" s="202"/>
      <c r="X5" s="202"/>
      <c r="Y5" s="202"/>
      <c r="Z5" s="202"/>
      <c r="AA5" s="202"/>
    </row>
    <row r="6" spans="1:27" ht="18">
      <c r="A6" s="202"/>
      <c r="B6" s="537"/>
      <c r="C6" s="480"/>
      <c r="D6" s="538" t="s">
        <v>607</v>
      </c>
      <c r="E6" s="539"/>
      <c r="F6" s="480"/>
      <c r="G6" s="480"/>
      <c r="H6" s="480"/>
      <c r="I6" s="480"/>
      <c r="J6" s="536"/>
      <c r="L6" s="202"/>
      <c r="M6" s="480"/>
      <c r="N6" s="202"/>
      <c r="O6" s="202"/>
      <c r="P6" s="202"/>
      <c r="Q6" s="202"/>
      <c r="R6" s="202"/>
      <c r="S6" s="202"/>
      <c r="T6" s="202"/>
      <c r="U6" s="202"/>
      <c r="V6" s="202"/>
      <c r="W6" s="202"/>
      <c r="X6" s="202"/>
      <c r="Y6" s="202"/>
      <c r="Z6" s="202"/>
      <c r="AA6" s="202"/>
    </row>
    <row r="7" spans="1:27" ht="18">
      <c r="A7" s="202"/>
      <c r="B7" s="537"/>
      <c r="C7" s="480"/>
      <c r="D7" s="538" t="s">
        <v>608</v>
      </c>
      <c r="E7" s="539"/>
      <c r="F7" s="480"/>
      <c r="G7" s="480"/>
      <c r="H7" s="480"/>
      <c r="I7" s="480"/>
      <c r="J7" s="536"/>
      <c r="L7" s="202"/>
      <c r="M7" s="480"/>
      <c r="N7" s="202"/>
      <c r="O7" s="202"/>
      <c r="P7" s="202"/>
      <c r="Q7" s="202"/>
      <c r="R7" s="202"/>
      <c r="S7" s="202"/>
      <c r="T7" s="202"/>
      <c r="U7" s="202"/>
      <c r="V7" s="202"/>
      <c r="W7" s="202"/>
      <c r="X7" s="202"/>
      <c r="Y7" s="202"/>
      <c r="Z7" s="202"/>
      <c r="AA7" s="202"/>
    </row>
    <row r="8" spans="1:27" ht="18">
      <c r="A8" s="202"/>
      <c r="B8" s="537"/>
      <c r="C8" s="480"/>
      <c r="D8" s="538" t="s">
        <v>609</v>
      </c>
      <c r="E8" s="539"/>
      <c r="F8" s="480"/>
      <c r="G8" s="480"/>
      <c r="H8" s="480"/>
      <c r="I8" s="480"/>
      <c r="J8" s="536"/>
      <c r="L8" s="480"/>
      <c r="M8" s="480"/>
      <c r="P8" s="202"/>
      <c r="Q8" s="202"/>
      <c r="R8" s="202"/>
      <c r="S8" s="202"/>
      <c r="T8" s="202"/>
      <c r="U8" s="202"/>
      <c r="V8" s="202"/>
      <c r="W8" s="202"/>
      <c r="X8" s="202"/>
      <c r="Y8" s="202"/>
      <c r="Z8" s="202"/>
      <c r="AA8" s="202"/>
    </row>
    <row r="9" spans="1:27" ht="18">
      <c r="A9" s="202"/>
      <c r="B9" s="537"/>
      <c r="C9" s="480"/>
      <c r="D9" s="538" t="s">
        <v>610</v>
      </c>
      <c r="E9" s="539"/>
      <c r="F9" s="480"/>
      <c r="G9" s="480"/>
      <c r="H9" s="480"/>
      <c r="I9" s="480"/>
      <c r="J9" s="536"/>
      <c r="P9" s="202"/>
      <c r="Q9" s="202"/>
      <c r="R9" s="202"/>
      <c r="S9" s="202"/>
      <c r="T9" s="202"/>
      <c r="U9" s="202"/>
      <c r="V9" s="202"/>
      <c r="W9" s="202"/>
      <c r="X9" s="202"/>
      <c r="Y9" s="202"/>
      <c r="Z9" s="202"/>
      <c r="AA9" s="202"/>
    </row>
    <row r="10" spans="1:27" ht="18">
      <c r="A10" s="202"/>
      <c r="B10" s="537"/>
      <c r="C10" s="480"/>
      <c r="D10" s="538" t="s">
        <v>611</v>
      </c>
      <c r="E10" s="539"/>
      <c r="F10" s="480"/>
      <c r="G10" s="480"/>
      <c r="H10" s="480"/>
      <c r="I10" s="480"/>
      <c r="J10" s="536"/>
      <c r="K10" s="202"/>
      <c r="L10" s="202"/>
      <c r="M10" s="202"/>
      <c r="N10" s="202"/>
      <c r="P10" s="202"/>
      <c r="Q10" s="202"/>
      <c r="R10" s="202"/>
      <c r="S10" s="202"/>
      <c r="T10" s="202"/>
      <c r="U10" s="202"/>
      <c r="V10" s="202"/>
      <c r="W10" s="202"/>
      <c r="X10" s="202"/>
      <c r="Y10" s="202"/>
      <c r="Z10" s="202"/>
      <c r="AA10" s="202"/>
    </row>
    <row r="11" spans="1:27" ht="18">
      <c r="A11" s="202"/>
      <c r="B11" s="537"/>
      <c r="C11" s="480"/>
      <c r="D11" s="538"/>
      <c r="E11" s="539"/>
      <c r="F11" s="480"/>
      <c r="G11" s="480"/>
      <c r="H11" s="480"/>
      <c r="I11" s="480"/>
      <c r="J11" s="536"/>
      <c r="K11" s="202"/>
      <c r="L11" s="202"/>
      <c r="M11" s="202"/>
      <c r="N11" s="202"/>
      <c r="P11" s="202"/>
      <c r="Q11" s="202"/>
      <c r="R11" s="202"/>
      <c r="S11" s="202"/>
      <c r="T11" s="202"/>
      <c r="U11" s="202"/>
      <c r="V11" s="202"/>
      <c r="W11" s="202"/>
      <c r="X11" s="202"/>
      <c r="Y11" s="202"/>
      <c r="Z11" s="202"/>
      <c r="AA11" s="202"/>
    </row>
    <row r="12" spans="1:27" ht="18">
      <c r="A12" s="202"/>
      <c r="B12" s="537"/>
      <c r="C12" s="480"/>
      <c r="D12" s="486"/>
      <c r="E12" s="539"/>
      <c r="F12" s="480"/>
      <c r="G12" s="480"/>
      <c r="H12" s="480"/>
      <c r="I12" s="480"/>
      <c r="J12" s="536"/>
      <c r="K12" s="202"/>
      <c r="L12" s="202"/>
      <c r="M12" s="202"/>
      <c r="N12" s="202"/>
      <c r="P12" s="202"/>
      <c r="Q12" s="202"/>
      <c r="R12" s="202"/>
      <c r="S12" s="202"/>
      <c r="T12" s="202"/>
      <c r="U12" s="202"/>
      <c r="V12" s="202"/>
      <c r="W12" s="202"/>
      <c r="X12" s="202"/>
      <c r="Y12" s="202"/>
      <c r="Z12" s="202"/>
      <c r="AA12" s="202"/>
    </row>
    <row r="13" spans="1:27" ht="19" thickBot="1">
      <c r="A13" s="202"/>
      <c r="B13" s="540"/>
      <c r="C13" s="541"/>
      <c r="D13" s="542"/>
      <c r="E13" s="543"/>
      <c r="F13" s="541"/>
      <c r="G13" s="541"/>
      <c r="H13" s="541"/>
      <c r="I13" s="541"/>
      <c r="J13" s="544"/>
      <c r="K13" s="202"/>
      <c r="L13" s="202"/>
      <c r="M13" s="202"/>
      <c r="N13" s="202"/>
      <c r="P13" s="202"/>
      <c r="Q13" s="202"/>
      <c r="R13" s="202"/>
      <c r="S13" s="202"/>
      <c r="T13" s="202"/>
      <c r="U13" s="202"/>
      <c r="V13" s="202"/>
      <c r="W13" s="202"/>
      <c r="X13" s="202"/>
      <c r="Y13" s="202"/>
      <c r="Z13" s="202"/>
      <c r="AA13" s="202"/>
    </row>
    <row r="14" spans="1:27" ht="18">
      <c r="A14" s="202"/>
      <c r="B14" s="514"/>
      <c r="C14" s="202"/>
      <c r="D14" s="213"/>
      <c r="E14" s="285"/>
      <c r="F14" s="202"/>
      <c r="G14" s="202"/>
      <c r="H14" s="202"/>
      <c r="I14" s="202"/>
      <c r="J14" s="202"/>
      <c r="K14" s="202"/>
      <c r="L14" s="202"/>
      <c r="M14" s="202"/>
      <c r="N14" s="202"/>
      <c r="P14" s="202"/>
      <c r="Q14" s="202"/>
      <c r="R14" s="202"/>
      <c r="S14" s="202"/>
      <c r="T14" s="202"/>
      <c r="U14" s="202"/>
      <c r="V14" s="202"/>
      <c r="W14" s="202"/>
      <c r="X14" s="202"/>
      <c r="Y14" s="202"/>
      <c r="Z14" s="202"/>
      <c r="AA14" s="202"/>
    </row>
    <row r="15" spans="1:27" ht="18">
      <c r="A15" s="202"/>
      <c r="B15" s="1776" t="s">
        <v>221</v>
      </c>
      <c r="C15" s="1776"/>
      <c r="D15" s="1776"/>
      <c r="E15" s="1776"/>
      <c r="F15" s="1776"/>
      <c r="G15" s="1776"/>
      <c r="H15" s="1776"/>
      <c r="I15" s="1776"/>
      <c r="J15" s="1776"/>
      <c r="K15" s="202"/>
      <c r="L15" s="202"/>
      <c r="M15" s="202"/>
      <c r="N15" s="202"/>
      <c r="O15" s="202"/>
      <c r="P15" s="202"/>
      <c r="Q15" s="202"/>
      <c r="R15" s="202"/>
      <c r="S15" s="202"/>
      <c r="T15" s="202"/>
      <c r="U15" s="202"/>
      <c r="V15" s="202"/>
      <c r="W15" s="202"/>
      <c r="X15" s="202"/>
      <c r="Y15" s="202"/>
      <c r="Z15" s="202"/>
      <c r="AA15" s="202"/>
    </row>
    <row r="16" spans="1:27" ht="27" customHeight="1">
      <c r="A16" s="202"/>
      <c r="B16" s="515" t="s">
        <v>604</v>
      </c>
      <c r="C16" s="202"/>
      <c r="D16" s="202"/>
      <c r="E16" s="202"/>
      <c r="F16" s="250" t="s">
        <v>605</v>
      </c>
      <c r="G16" s="207"/>
      <c r="H16" s="207"/>
      <c r="I16" s="202"/>
      <c r="J16" s="202"/>
      <c r="K16" s="202"/>
      <c r="L16" s="202"/>
      <c r="M16" s="202"/>
      <c r="N16" s="202"/>
      <c r="O16" s="202"/>
      <c r="P16" s="202"/>
      <c r="Q16" s="202"/>
      <c r="R16" s="202"/>
      <c r="S16" s="202"/>
      <c r="T16" s="202"/>
      <c r="U16" s="202"/>
      <c r="V16" s="202"/>
      <c r="W16" s="202"/>
      <c r="X16" s="202"/>
      <c r="Y16" s="202"/>
      <c r="Z16" s="202"/>
      <c r="AA16" s="202"/>
    </row>
    <row r="17" spans="1:27" ht="27" customHeight="1">
      <c r="A17" s="202"/>
      <c r="B17" s="515" t="s">
        <v>1295</v>
      </c>
      <c r="C17" s="202"/>
      <c r="D17" s="202"/>
      <c r="E17" s="202"/>
      <c r="F17" s="202"/>
      <c r="G17" s="250"/>
      <c r="H17" s="202"/>
      <c r="I17" s="202"/>
      <c r="J17" s="202"/>
      <c r="K17" s="202"/>
      <c r="L17" s="202"/>
      <c r="M17" s="202"/>
      <c r="N17" s="202"/>
      <c r="O17" s="202"/>
      <c r="P17" s="202"/>
      <c r="Q17" s="202"/>
      <c r="R17" s="202"/>
      <c r="S17" s="202"/>
      <c r="T17" s="202"/>
      <c r="U17" s="202"/>
      <c r="V17" s="202"/>
      <c r="W17" s="202"/>
      <c r="X17" s="202"/>
      <c r="Y17" s="202"/>
      <c r="Z17" s="202"/>
      <c r="AA17" s="202"/>
    </row>
    <row r="18" spans="1:27" ht="12.75" customHeight="1">
      <c r="A18" s="202"/>
      <c r="B18" s="515"/>
      <c r="C18" s="202"/>
      <c r="D18" s="202"/>
      <c r="E18" s="202"/>
      <c r="F18" s="202"/>
      <c r="G18" s="202"/>
      <c r="H18" s="202"/>
      <c r="I18" s="202"/>
      <c r="J18" s="202"/>
      <c r="K18" s="202"/>
      <c r="L18" s="202"/>
      <c r="M18" s="202"/>
      <c r="N18" s="202"/>
      <c r="O18" s="202"/>
      <c r="P18" s="202"/>
      <c r="Q18" s="202"/>
      <c r="R18" s="202"/>
      <c r="S18" s="202"/>
      <c r="T18" s="202"/>
      <c r="U18" s="202"/>
      <c r="V18" s="202"/>
      <c r="W18" s="202"/>
      <c r="X18" s="202"/>
      <c r="Y18" s="202"/>
      <c r="Z18" s="202"/>
      <c r="AA18" s="202"/>
    </row>
    <row r="19" spans="1:27" ht="18" hidden="1" customHeight="1">
      <c r="A19" s="202"/>
      <c r="B19" s="1773" t="s">
        <v>568</v>
      </c>
      <c r="C19" s="1773"/>
      <c r="D19" s="1773"/>
      <c r="E19" s="1773"/>
      <c r="F19" s="1773"/>
      <c r="G19" s="1773"/>
      <c r="H19" s="1773"/>
      <c r="I19" s="1773"/>
      <c r="J19" s="1773"/>
      <c r="K19" s="202"/>
      <c r="L19" s="202"/>
      <c r="M19" s="202"/>
      <c r="N19" s="202"/>
      <c r="O19" s="202"/>
      <c r="P19" s="202"/>
      <c r="Q19" s="202"/>
      <c r="R19" s="202"/>
      <c r="S19" s="202"/>
      <c r="T19" s="202"/>
      <c r="U19" s="202"/>
      <c r="V19" s="202"/>
      <c r="W19" s="202"/>
      <c r="X19" s="202"/>
      <c r="Y19" s="202"/>
      <c r="Z19" s="202"/>
      <c r="AA19" s="202"/>
    </row>
    <row r="20" spans="1:27" ht="13.5" hidden="1" customHeight="1">
      <c r="A20" s="202"/>
      <c r="B20" s="1744" t="s">
        <v>575</v>
      </c>
      <c r="C20" s="1745" t="s">
        <v>218</v>
      </c>
      <c r="D20" s="1745" t="s">
        <v>219</v>
      </c>
      <c r="E20" s="1745" t="s">
        <v>567</v>
      </c>
      <c r="F20" s="1745" t="s">
        <v>595</v>
      </c>
      <c r="G20" s="1798" t="s">
        <v>569</v>
      </c>
      <c r="H20" s="1799"/>
      <c r="I20" s="1799"/>
      <c r="J20" s="1800"/>
      <c r="K20" s="202"/>
      <c r="L20" s="202"/>
      <c r="M20" s="202"/>
      <c r="N20" s="202"/>
      <c r="O20" s="202"/>
      <c r="P20" s="202"/>
      <c r="Q20" s="202"/>
      <c r="R20" s="202"/>
      <c r="S20" s="202"/>
      <c r="T20" s="202"/>
      <c r="U20" s="202"/>
      <c r="V20" s="202"/>
      <c r="W20" s="202"/>
      <c r="X20" s="202"/>
      <c r="Y20" s="202"/>
      <c r="Z20" s="202"/>
      <c r="AA20" s="202"/>
    </row>
    <row r="21" spans="1:27" ht="13.5" hidden="1" customHeight="1">
      <c r="A21" s="202"/>
      <c r="B21" s="1744"/>
      <c r="C21" s="1745"/>
      <c r="D21" s="1745"/>
      <c r="E21" s="1745"/>
      <c r="F21" s="1745"/>
      <c r="G21" s="1763" t="s">
        <v>591</v>
      </c>
      <c r="H21" s="990" t="s">
        <v>345</v>
      </c>
      <c r="I21" s="1798" t="s">
        <v>573</v>
      </c>
      <c r="J21" s="1800"/>
      <c r="K21" s="202"/>
      <c r="L21" s="202"/>
      <c r="M21" s="202"/>
      <c r="N21" s="202"/>
      <c r="O21" s="202"/>
      <c r="P21" s="202"/>
      <c r="Q21" s="202"/>
      <c r="R21" s="202"/>
      <c r="S21" s="202"/>
      <c r="T21" s="202"/>
      <c r="U21" s="202"/>
      <c r="V21" s="202"/>
      <c r="W21" s="202"/>
      <c r="X21" s="202"/>
      <c r="Y21" s="202"/>
      <c r="Z21" s="202"/>
      <c r="AA21" s="202"/>
    </row>
    <row r="22" spans="1:27" ht="26.25" hidden="1" customHeight="1">
      <c r="A22" s="202"/>
      <c r="B22" s="1744"/>
      <c r="C22" s="1745"/>
      <c r="D22" s="1745"/>
      <c r="E22" s="1745"/>
      <c r="F22" s="1745"/>
      <c r="G22" s="1765"/>
      <c r="H22" s="516" t="s">
        <v>571</v>
      </c>
      <c r="I22" s="517" t="s">
        <v>571</v>
      </c>
      <c r="J22" s="517" t="s">
        <v>572</v>
      </c>
      <c r="K22" s="487"/>
      <c r="L22" s="518"/>
      <c r="M22" s="202"/>
      <c r="N22" s="202"/>
      <c r="O22" s="202"/>
      <c r="P22" s="202"/>
      <c r="Q22" s="202"/>
      <c r="R22" s="202"/>
      <c r="S22" s="202"/>
      <c r="T22" s="202"/>
      <c r="U22" s="202"/>
      <c r="V22" s="202"/>
      <c r="W22" s="202"/>
      <c r="X22" s="202"/>
      <c r="Y22" s="202"/>
      <c r="Z22" s="202"/>
      <c r="AA22" s="202"/>
    </row>
    <row r="23" spans="1:27" ht="14" hidden="1" customHeight="1">
      <c r="A23" s="202"/>
      <c r="B23" s="519"/>
      <c r="C23" s="235"/>
      <c r="D23" s="235"/>
      <c r="E23" s="235"/>
      <c r="F23" s="235"/>
      <c r="G23" s="235"/>
      <c r="H23" s="235"/>
      <c r="I23" s="235"/>
      <c r="J23" s="235"/>
      <c r="K23" s="202"/>
      <c r="L23" s="202"/>
      <c r="M23" s="202"/>
      <c r="N23" s="202"/>
      <c r="O23" s="202"/>
      <c r="P23" s="202"/>
      <c r="Q23" s="202"/>
      <c r="R23" s="202"/>
      <c r="S23" s="202"/>
      <c r="T23" s="202"/>
      <c r="U23" s="202"/>
      <c r="V23" s="202"/>
      <c r="W23" s="202"/>
      <c r="X23" s="202"/>
      <c r="Y23" s="202"/>
      <c r="Z23" s="202"/>
      <c r="AA23" s="202"/>
    </row>
    <row r="24" spans="1:27" ht="14" hidden="1" customHeight="1">
      <c r="A24" s="202"/>
      <c r="B24" s="519"/>
      <c r="C24" s="235"/>
      <c r="D24" s="235"/>
      <c r="E24" s="235"/>
      <c r="F24" s="235"/>
      <c r="G24" s="235"/>
      <c r="H24" s="235"/>
      <c r="I24" s="235"/>
      <c r="J24" s="235"/>
      <c r="K24" s="202"/>
      <c r="L24" s="520"/>
      <c r="M24" s="202"/>
      <c r="N24" s="202"/>
      <c r="O24" s="202"/>
      <c r="P24" s="202"/>
      <c r="Q24" s="202"/>
      <c r="R24" s="202"/>
      <c r="S24" s="202"/>
      <c r="T24" s="202"/>
      <c r="U24" s="202"/>
      <c r="V24" s="202"/>
      <c r="W24" s="202"/>
      <c r="X24" s="202"/>
      <c r="Y24" s="202"/>
      <c r="Z24" s="202"/>
      <c r="AA24" s="202"/>
    </row>
    <row r="25" spans="1:27" ht="14" hidden="1" customHeight="1">
      <c r="A25" s="202"/>
      <c r="B25" s="519"/>
      <c r="C25" s="235"/>
      <c r="D25" s="235"/>
      <c r="E25" s="235"/>
      <c r="F25" s="235"/>
      <c r="G25" s="235"/>
      <c r="H25" s="235"/>
      <c r="I25" s="235"/>
      <c r="J25" s="235"/>
      <c r="K25" s="202"/>
      <c r="L25" s="202"/>
      <c r="M25" s="202"/>
      <c r="N25" s="202"/>
      <c r="O25" s="202"/>
      <c r="P25" s="202"/>
      <c r="Q25" s="202"/>
      <c r="R25" s="202"/>
      <c r="S25" s="202"/>
      <c r="T25" s="202"/>
      <c r="U25" s="202"/>
      <c r="V25" s="202"/>
      <c r="W25" s="202"/>
      <c r="X25" s="202"/>
      <c r="Y25" s="202"/>
      <c r="Z25" s="202"/>
      <c r="AA25" s="202"/>
    </row>
    <row r="26" spans="1:27" ht="14" hidden="1" customHeight="1">
      <c r="A26" s="202"/>
      <c r="B26" s="519"/>
      <c r="C26" s="235"/>
      <c r="D26" s="235"/>
      <c r="E26" s="235"/>
      <c r="F26" s="235"/>
      <c r="G26" s="235"/>
      <c r="H26" s="235"/>
      <c r="I26" s="235"/>
      <c r="J26" s="235"/>
      <c r="K26" s="202"/>
      <c r="L26" s="520"/>
      <c r="M26" s="202"/>
      <c r="N26" s="202"/>
      <c r="O26" s="202"/>
      <c r="P26" s="202"/>
      <c r="Q26" s="202"/>
      <c r="R26" s="202"/>
      <c r="S26" s="202"/>
      <c r="T26" s="202"/>
      <c r="U26" s="202"/>
      <c r="V26" s="202"/>
      <c r="W26" s="202"/>
      <c r="X26" s="202"/>
      <c r="Y26" s="202"/>
      <c r="Z26" s="202"/>
      <c r="AA26" s="202"/>
    </row>
    <row r="27" spans="1:27" ht="14" hidden="1" customHeight="1">
      <c r="A27" s="202"/>
      <c r="B27" s="519"/>
      <c r="C27" s="235"/>
      <c r="D27" s="235"/>
      <c r="E27" s="235"/>
      <c r="F27" s="235"/>
      <c r="G27" s="235"/>
      <c r="H27" s="235"/>
      <c r="I27" s="235"/>
      <c r="J27" s="235"/>
      <c r="K27" s="202"/>
      <c r="L27" s="202"/>
      <c r="M27" s="202"/>
      <c r="N27" s="202"/>
      <c r="O27" s="202"/>
      <c r="P27" s="202"/>
      <c r="Q27" s="202"/>
      <c r="R27" s="202"/>
      <c r="S27" s="202"/>
      <c r="T27" s="202"/>
      <c r="U27" s="202"/>
      <c r="V27" s="202"/>
      <c r="W27" s="202"/>
      <c r="X27" s="202"/>
      <c r="Y27" s="202"/>
      <c r="Z27" s="202"/>
      <c r="AA27" s="202"/>
    </row>
    <row r="28" spans="1:27" hidden="1">
      <c r="A28" s="202"/>
      <c r="B28" s="521"/>
      <c r="C28" s="202"/>
      <c r="D28" s="202"/>
      <c r="E28" s="202"/>
      <c r="F28" s="202"/>
      <c r="G28" s="202"/>
      <c r="H28" s="202"/>
      <c r="I28" s="202"/>
      <c r="J28" s="202"/>
      <c r="K28" s="202"/>
      <c r="L28" s="202"/>
      <c r="M28" s="202"/>
      <c r="N28" s="202"/>
      <c r="O28" s="202"/>
      <c r="P28" s="202"/>
      <c r="Q28" s="202"/>
      <c r="R28" s="202"/>
      <c r="S28" s="202"/>
      <c r="T28" s="202"/>
      <c r="U28" s="202"/>
      <c r="V28" s="202"/>
      <c r="W28" s="202"/>
      <c r="X28" s="202"/>
      <c r="Y28" s="202"/>
      <c r="Z28" s="202"/>
      <c r="AA28" s="202"/>
    </row>
    <row r="29" spans="1:27" ht="18" hidden="1" customHeight="1">
      <c r="A29" s="202"/>
      <c r="B29" s="1773" t="s">
        <v>607</v>
      </c>
      <c r="C29" s="1773"/>
      <c r="D29" s="1773"/>
      <c r="E29" s="1773"/>
      <c r="F29" s="1773"/>
      <c r="G29" s="1773"/>
      <c r="H29" s="1773"/>
      <c r="I29" s="202"/>
      <c r="J29" s="202"/>
      <c r="K29" s="202"/>
      <c r="L29" s="202"/>
      <c r="M29" s="202"/>
      <c r="N29" s="202"/>
      <c r="O29" s="202"/>
      <c r="P29" s="202"/>
      <c r="Q29" s="202"/>
      <c r="R29" s="202"/>
      <c r="S29" s="202"/>
      <c r="T29" s="202"/>
      <c r="U29" s="202"/>
      <c r="V29" s="202"/>
      <c r="W29" s="202"/>
      <c r="X29" s="202"/>
      <c r="Y29" s="202"/>
      <c r="Z29" s="202"/>
      <c r="AA29" s="202"/>
    </row>
    <row r="30" spans="1:27" ht="31.5" hidden="1" customHeight="1">
      <c r="A30" s="202"/>
      <c r="B30" s="522" t="s">
        <v>574</v>
      </c>
      <c r="C30" s="517" t="s">
        <v>218</v>
      </c>
      <c r="D30" s="517" t="s">
        <v>219</v>
      </c>
      <c r="E30" s="517" t="s">
        <v>567</v>
      </c>
      <c r="F30" s="517" t="s">
        <v>601</v>
      </c>
      <c r="G30" s="517" t="s">
        <v>593</v>
      </c>
      <c r="H30" s="517" t="s">
        <v>594</v>
      </c>
      <c r="I30" s="202"/>
      <c r="J30" s="202"/>
      <c r="K30" s="202"/>
      <c r="L30" s="202"/>
      <c r="M30" s="202"/>
      <c r="N30" s="202"/>
      <c r="O30" s="202"/>
      <c r="P30" s="202"/>
      <c r="Q30" s="202"/>
      <c r="R30" s="202"/>
      <c r="S30" s="202"/>
      <c r="T30" s="202"/>
      <c r="U30" s="202"/>
      <c r="V30" s="202"/>
      <c r="W30" s="202"/>
      <c r="X30" s="202"/>
      <c r="Y30" s="202"/>
      <c r="Z30" s="202"/>
      <c r="AA30" s="202"/>
    </row>
    <row r="31" spans="1:27" ht="13.5" hidden="1" customHeight="1">
      <c r="A31" s="202"/>
      <c r="B31" s="519"/>
      <c r="C31" s="235"/>
      <c r="D31" s="235"/>
      <c r="E31" s="235"/>
      <c r="F31" s="235"/>
      <c r="G31" s="235"/>
      <c r="H31" s="235"/>
      <c r="I31" s="202"/>
      <c r="J31" s="202"/>
      <c r="K31" s="202"/>
      <c r="L31" s="202"/>
      <c r="M31" s="202"/>
      <c r="N31" s="202"/>
      <c r="O31" s="202"/>
      <c r="P31" s="202"/>
      <c r="Q31" s="202"/>
      <c r="R31" s="202"/>
      <c r="S31" s="202"/>
      <c r="T31" s="202"/>
      <c r="U31" s="202"/>
      <c r="V31" s="202"/>
      <c r="W31" s="202"/>
      <c r="X31" s="202"/>
      <c r="Y31" s="202"/>
      <c r="Z31" s="202"/>
      <c r="AA31" s="202"/>
    </row>
    <row r="32" spans="1:27" ht="13.5" hidden="1" customHeight="1">
      <c r="A32" s="202"/>
      <c r="B32" s="519"/>
      <c r="C32" s="235"/>
      <c r="D32" s="235"/>
      <c r="E32" s="235"/>
      <c r="F32" s="235"/>
      <c r="G32" s="235"/>
      <c r="H32" s="235"/>
      <c r="I32" s="202"/>
      <c r="J32" s="202"/>
      <c r="K32" s="202"/>
      <c r="L32" s="202"/>
      <c r="M32" s="202"/>
      <c r="N32" s="202"/>
      <c r="O32" s="202"/>
      <c r="P32" s="202"/>
      <c r="Q32" s="202"/>
      <c r="R32" s="202"/>
      <c r="S32" s="202"/>
      <c r="T32" s="202"/>
      <c r="U32" s="202"/>
      <c r="V32" s="202"/>
      <c r="W32" s="202"/>
      <c r="X32" s="202"/>
      <c r="Y32" s="202"/>
      <c r="Z32" s="202"/>
      <c r="AA32" s="202"/>
    </row>
    <row r="33" spans="1:27" ht="13.5" hidden="1" customHeight="1">
      <c r="A33" s="202"/>
      <c r="B33" s="519"/>
      <c r="C33" s="235"/>
      <c r="D33" s="235"/>
      <c r="E33" s="235"/>
      <c r="F33" s="235"/>
      <c r="G33" s="235"/>
      <c r="H33" s="235"/>
      <c r="I33" s="202"/>
      <c r="J33" s="202"/>
      <c r="K33" s="202"/>
      <c r="L33" s="202"/>
      <c r="M33" s="202"/>
      <c r="N33" s="202"/>
      <c r="O33" s="202"/>
      <c r="P33" s="202"/>
      <c r="Q33" s="202"/>
      <c r="R33" s="202"/>
      <c r="S33" s="202"/>
      <c r="T33" s="202"/>
      <c r="U33" s="202"/>
      <c r="V33" s="202"/>
      <c r="W33" s="202"/>
      <c r="X33" s="202"/>
      <c r="Y33" s="202"/>
      <c r="Z33" s="202"/>
      <c r="AA33" s="202"/>
    </row>
    <row r="34" spans="1:27" ht="13.5" hidden="1" customHeight="1">
      <c r="A34" s="202"/>
      <c r="B34" s="519"/>
      <c r="C34" s="235"/>
      <c r="D34" s="235"/>
      <c r="E34" s="235"/>
      <c r="F34" s="235"/>
      <c r="G34" s="235"/>
      <c r="H34" s="235"/>
      <c r="I34" s="202"/>
      <c r="J34" s="202"/>
      <c r="K34" s="202"/>
      <c r="L34" s="202"/>
      <c r="M34" s="202"/>
      <c r="N34" s="202"/>
      <c r="O34" s="202"/>
      <c r="P34" s="202"/>
      <c r="Q34" s="202"/>
      <c r="R34" s="202"/>
      <c r="S34" s="202"/>
      <c r="T34" s="202"/>
      <c r="U34" s="202"/>
      <c r="V34" s="202"/>
      <c r="W34" s="202"/>
      <c r="X34" s="202"/>
      <c r="Y34" s="202"/>
      <c r="Z34" s="202"/>
      <c r="AA34" s="202"/>
    </row>
    <row r="35" spans="1:27" ht="13.5" hidden="1" customHeight="1">
      <c r="A35" s="202"/>
      <c r="B35" s="519"/>
      <c r="C35" s="235"/>
      <c r="D35" s="235"/>
      <c r="E35" s="235"/>
      <c r="F35" s="235"/>
      <c r="G35" s="235"/>
      <c r="H35" s="235"/>
      <c r="I35" s="202"/>
      <c r="J35" s="202"/>
      <c r="K35" s="202"/>
      <c r="L35" s="202"/>
      <c r="M35" s="202"/>
      <c r="N35" s="202"/>
      <c r="O35" s="202"/>
      <c r="P35" s="202"/>
      <c r="Q35" s="202"/>
      <c r="R35" s="202"/>
      <c r="S35" s="202"/>
      <c r="T35" s="202"/>
      <c r="U35" s="202"/>
      <c r="V35" s="202"/>
      <c r="W35" s="202"/>
      <c r="X35" s="202"/>
      <c r="Y35" s="202"/>
      <c r="Z35" s="202"/>
      <c r="AA35" s="202"/>
    </row>
    <row r="36" spans="1:27" ht="12" hidden="1" customHeight="1">
      <c r="A36" s="202"/>
      <c r="B36" s="521"/>
      <c r="C36" s="202"/>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row>
    <row r="37" spans="1:27" ht="18" hidden="1" customHeight="1">
      <c r="A37" s="202"/>
      <c r="B37" s="1774" t="s">
        <v>608</v>
      </c>
      <c r="C37" s="1774"/>
      <c r="D37" s="1774"/>
      <c r="E37" s="1774"/>
      <c r="F37" s="1774"/>
      <c r="G37" s="1774"/>
      <c r="H37" s="1774"/>
      <c r="I37" s="1774"/>
      <c r="J37" s="1774"/>
      <c r="K37" s="202"/>
      <c r="L37" s="202"/>
      <c r="M37" s="202"/>
      <c r="N37" s="202"/>
      <c r="O37" s="202"/>
      <c r="P37" s="202"/>
      <c r="Q37" s="202"/>
      <c r="R37" s="202"/>
      <c r="S37" s="202"/>
      <c r="T37" s="202"/>
      <c r="U37" s="202"/>
      <c r="V37" s="202"/>
      <c r="W37" s="202"/>
      <c r="X37" s="202"/>
      <c r="Y37" s="202"/>
      <c r="Z37" s="202"/>
      <c r="AA37" s="202"/>
    </row>
    <row r="38" spans="1:27" ht="14.25" hidden="1" customHeight="1">
      <c r="A38" s="202"/>
      <c r="B38" s="1744" t="s">
        <v>574</v>
      </c>
      <c r="C38" s="1745" t="s">
        <v>218</v>
      </c>
      <c r="D38" s="1745" t="s">
        <v>219</v>
      </c>
      <c r="E38" s="1745" t="s">
        <v>576</v>
      </c>
      <c r="F38" s="1745" t="s">
        <v>577</v>
      </c>
      <c r="G38" s="1745" t="s">
        <v>578</v>
      </c>
      <c r="H38" s="1745" t="s">
        <v>579</v>
      </c>
      <c r="I38" s="1746"/>
      <c r="J38" s="1746"/>
      <c r="K38" s="202"/>
      <c r="L38" s="202"/>
      <c r="M38" s="202"/>
      <c r="N38" s="202"/>
      <c r="O38" s="202"/>
      <c r="P38" s="202"/>
      <c r="Q38" s="202"/>
      <c r="R38" s="202"/>
      <c r="S38" s="202"/>
      <c r="T38" s="202"/>
      <c r="U38" s="202"/>
      <c r="V38" s="202"/>
      <c r="W38" s="202"/>
      <c r="X38" s="202"/>
      <c r="Y38" s="202"/>
      <c r="Z38" s="202"/>
      <c r="AA38" s="202"/>
    </row>
    <row r="39" spans="1:27" ht="48" hidden="1" customHeight="1">
      <c r="A39" s="202"/>
      <c r="B39" s="1744"/>
      <c r="C39" s="1745"/>
      <c r="D39" s="1745"/>
      <c r="E39" s="1745"/>
      <c r="F39" s="1745"/>
      <c r="G39" s="1745"/>
      <c r="H39" s="1745"/>
      <c r="I39" s="935" t="s">
        <v>580</v>
      </c>
      <c r="J39" s="935" t="s">
        <v>581</v>
      </c>
      <c r="K39" s="202"/>
      <c r="L39" s="202"/>
      <c r="M39" s="202"/>
      <c r="N39" s="202"/>
      <c r="O39" s="202"/>
      <c r="P39" s="202"/>
      <c r="Q39" s="202"/>
      <c r="R39" s="202"/>
      <c r="S39" s="202"/>
      <c r="T39" s="202"/>
      <c r="U39" s="202"/>
      <c r="V39" s="202"/>
      <c r="W39" s="202"/>
      <c r="X39" s="202"/>
      <c r="Y39" s="202"/>
      <c r="Z39" s="202"/>
      <c r="AA39" s="202"/>
    </row>
    <row r="40" spans="1:27" ht="13.5" hidden="1" customHeight="1">
      <c r="A40" s="202"/>
      <c r="B40" s="519"/>
      <c r="C40" s="235"/>
      <c r="D40" s="235"/>
      <c r="E40" s="235"/>
      <c r="F40" s="235"/>
      <c r="G40" s="235"/>
      <c r="H40" s="235"/>
      <c r="I40" s="235"/>
      <c r="J40" s="235"/>
      <c r="K40" s="202"/>
      <c r="L40" s="202"/>
      <c r="M40" s="202"/>
      <c r="N40" s="202"/>
      <c r="O40" s="202"/>
      <c r="P40" s="202"/>
      <c r="Q40" s="202"/>
      <c r="R40" s="202"/>
      <c r="S40" s="202"/>
      <c r="T40" s="202"/>
      <c r="U40" s="202"/>
      <c r="V40" s="202"/>
      <c r="W40" s="202"/>
      <c r="X40" s="202"/>
      <c r="Y40" s="202"/>
      <c r="Z40" s="202"/>
      <c r="AA40" s="202"/>
    </row>
    <row r="41" spans="1:27" ht="13.5" hidden="1" customHeight="1">
      <c r="A41" s="202"/>
      <c r="B41" s="519"/>
      <c r="C41" s="235"/>
      <c r="D41" s="235"/>
      <c r="E41" s="235"/>
      <c r="F41" s="235"/>
      <c r="G41" s="235"/>
      <c r="H41" s="235"/>
      <c r="I41" s="235"/>
      <c r="J41" s="235"/>
      <c r="K41" s="202"/>
      <c r="L41" s="202"/>
      <c r="M41" s="202"/>
      <c r="N41" s="202"/>
      <c r="O41" s="202"/>
      <c r="P41" s="202"/>
      <c r="Q41" s="202"/>
      <c r="R41" s="202"/>
      <c r="S41" s="202"/>
      <c r="T41" s="202"/>
      <c r="U41" s="202"/>
      <c r="V41" s="202"/>
      <c r="W41" s="202"/>
      <c r="X41" s="202"/>
      <c r="Y41" s="202"/>
      <c r="Z41" s="202"/>
      <c r="AA41" s="202"/>
    </row>
    <row r="42" spans="1:27" ht="13.5" hidden="1" customHeight="1">
      <c r="A42" s="202"/>
      <c r="B42" s="519"/>
      <c r="C42" s="235"/>
      <c r="D42" s="235"/>
      <c r="E42" s="235"/>
      <c r="F42" s="235"/>
      <c r="G42" s="235"/>
      <c r="H42" s="235"/>
      <c r="I42" s="235"/>
      <c r="J42" s="235"/>
      <c r="K42" s="202"/>
      <c r="L42" s="202"/>
      <c r="M42" s="202"/>
      <c r="N42" s="202"/>
      <c r="O42" s="202"/>
      <c r="P42" s="202"/>
      <c r="Q42" s="202"/>
      <c r="R42" s="202"/>
      <c r="S42" s="202"/>
      <c r="T42" s="202"/>
      <c r="U42" s="202"/>
      <c r="V42" s="202"/>
      <c r="W42" s="202"/>
      <c r="X42" s="202"/>
      <c r="Y42" s="202"/>
      <c r="Z42" s="202"/>
      <c r="AA42" s="202"/>
    </row>
    <row r="43" spans="1:27" ht="12" hidden="1" customHeight="1">
      <c r="A43" s="202"/>
      <c r="B43" s="500"/>
      <c r="C43" s="202"/>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row>
    <row r="44" spans="1:27" ht="18" hidden="1" customHeight="1">
      <c r="A44" s="202"/>
      <c r="B44" s="1774" t="s">
        <v>613</v>
      </c>
      <c r="C44" s="1774"/>
      <c r="D44" s="1774"/>
      <c r="E44" s="1774"/>
      <c r="F44" s="1774"/>
      <c r="G44" s="1774"/>
      <c r="H44" s="1774"/>
      <c r="I44" s="1774"/>
      <c r="J44" s="202"/>
      <c r="K44" s="202"/>
      <c r="L44" s="202"/>
      <c r="M44" s="202"/>
      <c r="N44" s="202"/>
      <c r="O44" s="202"/>
      <c r="P44" s="202"/>
      <c r="Q44" s="202"/>
      <c r="R44" s="202"/>
      <c r="S44" s="202"/>
      <c r="T44" s="202"/>
      <c r="U44" s="202"/>
      <c r="V44" s="202"/>
      <c r="W44" s="202"/>
      <c r="X44" s="202"/>
      <c r="Y44" s="202"/>
      <c r="Z44" s="202"/>
      <c r="AA44" s="202"/>
    </row>
    <row r="45" spans="1:27" ht="12" hidden="1" customHeight="1">
      <c r="A45" s="202"/>
      <c r="B45" s="1744" t="s">
        <v>582</v>
      </c>
      <c r="C45" s="1745" t="s">
        <v>218</v>
      </c>
      <c r="D45" s="1745" t="s">
        <v>219</v>
      </c>
      <c r="E45" s="1745" t="s">
        <v>567</v>
      </c>
      <c r="F45" s="1746" t="s">
        <v>569</v>
      </c>
      <c r="G45" s="1746"/>
      <c r="H45" s="1746"/>
      <c r="I45" s="1746"/>
      <c r="J45" s="202"/>
      <c r="K45" s="202"/>
      <c r="L45" s="202"/>
      <c r="M45" s="202"/>
      <c r="N45" s="202"/>
      <c r="O45" s="202"/>
      <c r="P45" s="202"/>
      <c r="Q45" s="202"/>
      <c r="R45" s="202"/>
      <c r="S45" s="202"/>
      <c r="T45" s="202"/>
      <c r="U45" s="202"/>
      <c r="V45" s="202"/>
      <c r="W45" s="202"/>
      <c r="X45" s="202"/>
      <c r="Y45" s="202"/>
      <c r="Z45" s="202"/>
      <c r="AA45" s="202"/>
    </row>
    <row r="46" spans="1:27" ht="18.75" hidden="1" customHeight="1">
      <c r="A46" s="202"/>
      <c r="B46" s="1744"/>
      <c r="C46" s="1745"/>
      <c r="D46" s="1745"/>
      <c r="E46" s="1745"/>
      <c r="F46" s="1747" t="s">
        <v>592</v>
      </c>
      <c r="G46" s="1746" t="s">
        <v>345</v>
      </c>
      <c r="H46" s="1746"/>
      <c r="I46" s="989"/>
      <c r="J46" s="202"/>
      <c r="K46" s="202"/>
      <c r="L46" s="202"/>
      <c r="M46" s="202"/>
      <c r="N46" s="202"/>
      <c r="O46" s="202"/>
      <c r="P46" s="202"/>
      <c r="Q46" s="202"/>
      <c r="R46" s="202"/>
      <c r="S46" s="202"/>
      <c r="T46" s="202"/>
      <c r="U46" s="202"/>
      <c r="V46" s="202"/>
      <c r="W46" s="202"/>
      <c r="X46" s="202"/>
      <c r="Y46" s="202"/>
      <c r="Z46" s="202"/>
      <c r="AA46" s="202"/>
    </row>
    <row r="47" spans="1:27" ht="26.25" hidden="1" customHeight="1">
      <c r="A47" s="202"/>
      <c r="B47" s="1744"/>
      <c r="C47" s="1745"/>
      <c r="D47" s="1745"/>
      <c r="E47" s="1745"/>
      <c r="F47" s="1747"/>
      <c r="G47" s="935" t="s">
        <v>571</v>
      </c>
      <c r="H47" s="935" t="s">
        <v>572</v>
      </c>
      <c r="I47" s="935" t="s">
        <v>572</v>
      </c>
      <c r="J47" s="202"/>
      <c r="K47" s="202"/>
      <c r="L47" s="202"/>
      <c r="M47" s="202"/>
      <c r="N47" s="202"/>
      <c r="O47" s="202"/>
      <c r="P47" s="202"/>
      <c r="Q47" s="202"/>
      <c r="R47" s="202"/>
      <c r="S47" s="202"/>
      <c r="T47" s="202"/>
      <c r="U47" s="202"/>
      <c r="V47" s="202"/>
      <c r="W47" s="202"/>
      <c r="X47" s="202"/>
      <c r="Y47" s="202"/>
      <c r="Z47" s="202"/>
      <c r="AA47" s="202"/>
    </row>
    <row r="48" spans="1:27" ht="13.5" hidden="1" customHeight="1">
      <c r="A48" s="202"/>
      <c r="B48" s="519"/>
      <c r="C48" s="235"/>
      <c r="D48" s="235"/>
      <c r="E48" s="235"/>
      <c r="F48" s="235"/>
      <c r="G48" s="235"/>
      <c r="H48" s="235"/>
      <c r="I48" s="235"/>
      <c r="J48" s="202"/>
      <c r="K48" s="202"/>
      <c r="L48" s="202"/>
      <c r="M48" s="202"/>
      <c r="N48" s="202"/>
      <c r="O48" s="202"/>
      <c r="P48" s="202"/>
      <c r="Q48" s="202"/>
      <c r="R48" s="202"/>
      <c r="S48" s="202"/>
      <c r="T48" s="202"/>
      <c r="U48" s="202"/>
      <c r="V48" s="202"/>
      <c r="W48" s="202"/>
      <c r="X48" s="202"/>
      <c r="Y48" s="202"/>
      <c r="Z48" s="202"/>
      <c r="AA48" s="202"/>
    </row>
    <row r="49" spans="1:27" ht="13.5" hidden="1" customHeight="1">
      <c r="A49" s="202"/>
      <c r="B49" s="519"/>
      <c r="C49" s="235"/>
      <c r="D49" s="235"/>
      <c r="E49" s="235"/>
      <c r="F49" s="235"/>
      <c r="G49" s="235"/>
      <c r="H49" s="235"/>
      <c r="I49" s="235"/>
      <c r="J49" s="202"/>
      <c r="K49" s="202"/>
      <c r="L49" s="202"/>
      <c r="M49" s="202"/>
      <c r="N49" s="202"/>
      <c r="O49" s="202"/>
      <c r="P49" s="202"/>
      <c r="Q49" s="202"/>
      <c r="R49" s="202"/>
      <c r="S49" s="202"/>
      <c r="T49" s="202"/>
      <c r="U49" s="202"/>
      <c r="V49" s="202"/>
      <c r="W49" s="202"/>
      <c r="X49" s="202"/>
      <c r="Y49" s="202"/>
      <c r="Z49" s="202"/>
      <c r="AA49" s="202"/>
    </row>
    <row r="50" spans="1:27" ht="13.5" hidden="1" customHeight="1">
      <c r="A50" s="202"/>
      <c r="B50" s="519"/>
      <c r="C50" s="235"/>
      <c r="D50" s="235"/>
      <c r="E50" s="235"/>
      <c r="F50" s="235"/>
      <c r="G50" s="235"/>
      <c r="H50" s="235"/>
      <c r="I50" s="235"/>
      <c r="J50" s="202"/>
      <c r="K50" s="202"/>
      <c r="L50" s="202"/>
      <c r="M50" s="202"/>
      <c r="N50" s="202"/>
      <c r="O50" s="202"/>
      <c r="P50" s="202"/>
      <c r="Q50" s="202"/>
      <c r="R50" s="202"/>
      <c r="S50" s="202"/>
      <c r="T50" s="202"/>
      <c r="U50" s="202"/>
      <c r="V50" s="202"/>
      <c r="W50" s="202"/>
      <c r="X50" s="202"/>
      <c r="Y50" s="202"/>
      <c r="Z50" s="202"/>
      <c r="AA50" s="202"/>
    </row>
    <row r="51" spans="1:27" ht="12" hidden="1" customHeight="1">
      <c r="A51" s="202"/>
      <c r="B51" s="523"/>
      <c r="C51" s="524"/>
      <c r="D51" s="524"/>
      <c r="E51" s="525"/>
      <c r="F51" s="524"/>
      <c r="G51" s="524"/>
      <c r="H51" s="524"/>
      <c r="I51" s="202"/>
      <c r="J51" s="202"/>
      <c r="K51" s="202"/>
      <c r="L51" s="202"/>
      <c r="M51" s="202"/>
      <c r="N51" s="202"/>
      <c r="O51" s="202"/>
      <c r="P51" s="202"/>
      <c r="Q51" s="202"/>
      <c r="R51" s="202"/>
      <c r="S51" s="202"/>
      <c r="T51" s="202"/>
      <c r="U51" s="202"/>
      <c r="V51" s="202"/>
      <c r="W51" s="202"/>
      <c r="X51" s="202"/>
      <c r="Y51" s="202"/>
      <c r="Z51" s="202"/>
      <c r="AA51" s="202"/>
    </row>
    <row r="52" spans="1:27" ht="12" hidden="1" customHeight="1">
      <c r="A52" s="202"/>
      <c r="B52" s="1766" t="s">
        <v>583</v>
      </c>
      <c r="C52" s="1763" t="s">
        <v>218</v>
      </c>
      <c r="D52" s="1763" t="s">
        <v>219</v>
      </c>
      <c r="E52" s="1763" t="s">
        <v>567</v>
      </c>
      <c r="F52" s="1748" t="s">
        <v>569</v>
      </c>
      <c r="G52" s="1794"/>
      <c r="H52" s="1794"/>
      <c r="I52" s="500"/>
      <c r="J52" s="202"/>
      <c r="K52" s="202"/>
      <c r="L52" s="202"/>
      <c r="M52" s="202"/>
      <c r="N52" s="202"/>
      <c r="O52" s="202"/>
      <c r="P52" s="202"/>
      <c r="Q52" s="202"/>
      <c r="R52" s="202"/>
      <c r="S52" s="202"/>
      <c r="T52" s="202"/>
      <c r="U52" s="202"/>
      <c r="V52" s="202"/>
      <c r="W52" s="202"/>
      <c r="X52" s="202"/>
      <c r="Y52" s="202"/>
      <c r="Z52" s="202"/>
      <c r="AA52" s="202"/>
    </row>
    <row r="53" spans="1:27" ht="16.5" hidden="1" customHeight="1">
      <c r="A53" s="202"/>
      <c r="B53" s="1767"/>
      <c r="C53" s="1764"/>
      <c r="D53" s="1764"/>
      <c r="E53" s="1764"/>
      <c r="F53" s="1748" t="s">
        <v>345</v>
      </c>
      <c r="G53" s="1749"/>
      <c r="H53" s="988" t="s">
        <v>573</v>
      </c>
      <c r="I53" s="202"/>
      <c r="J53" s="202"/>
      <c r="K53" s="202"/>
      <c r="L53" s="202"/>
      <c r="M53" s="202"/>
      <c r="N53" s="202"/>
      <c r="O53" s="202"/>
      <c r="P53" s="202"/>
      <c r="Q53" s="202"/>
      <c r="R53" s="202"/>
      <c r="S53" s="202"/>
      <c r="T53" s="202"/>
      <c r="U53" s="202"/>
      <c r="V53" s="202"/>
      <c r="W53" s="202"/>
      <c r="X53" s="202"/>
      <c r="Y53" s="202"/>
      <c r="Z53" s="202"/>
      <c r="AA53" s="202"/>
    </row>
    <row r="54" spans="1:27" ht="19.5" hidden="1" customHeight="1">
      <c r="A54" s="202"/>
      <c r="B54" s="1768"/>
      <c r="C54" s="1765"/>
      <c r="D54" s="1765"/>
      <c r="E54" s="1765"/>
      <c r="F54" s="935" t="s">
        <v>571</v>
      </c>
      <c r="G54" s="935" t="s">
        <v>572</v>
      </c>
      <c r="H54" s="935" t="s">
        <v>571</v>
      </c>
      <c r="I54" s="202"/>
      <c r="J54" s="202"/>
      <c r="K54" s="202"/>
      <c r="L54" s="202"/>
      <c r="M54" s="202"/>
      <c r="N54" s="202"/>
      <c r="O54" s="202"/>
      <c r="P54" s="202"/>
      <c r="Q54" s="202"/>
      <c r="R54" s="202"/>
      <c r="S54" s="202"/>
      <c r="T54" s="202"/>
      <c r="U54" s="202"/>
      <c r="V54" s="202"/>
      <c r="W54" s="202"/>
      <c r="X54" s="202"/>
      <c r="Y54" s="202"/>
      <c r="Z54" s="202"/>
      <c r="AA54" s="202"/>
    </row>
    <row r="55" spans="1:27" ht="13.5" hidden="1" customHeight="1">
      <c r="A55" s="202"/>
      <c r="B55" s="519"/>
      <c r="C55" s="235"/>
      <c r="D55" s="235"/>
      <c r="E55" s="235"/>
      <c r="F55" s="235"/>
      <c r="G55" s="235"/>
      <c r="H55" s="235"/>
      <c r="I55" s="202"/>
      <c r="J55" s="202"/>
      <c r="K55" s="202"/>
      <c r="L55" s="202"/>
      <c r="M55" s="202"/>
      <c r="N55" s="202"/>
      <c r="O55" s="202"/>
      <c r="P55" s="202"/>
      <c r="Q55" s="202"/>
      <c r="R55" s="202"/>
      <c r="S55" s="202"/>
      <c r="T55" s="202"/>
      <c r="U55" s="202"/>
      <c r="V55" s="202"/>
      <c r="W55" s="202"/>
      <c r="X55" s="202"/>
      <c r="Y55" s="202"/>
      <c r="Z55" s="202"/>
      <c r="AA55" s="202"/>
    </row>
    <row r="56" spans="1:27" ht="13.5" hidden="1" customHeight="1">
      <c r="A56" s="202"/>
      <c r="B56" s="519"/>
      <c r="C56" s="235"/>
      <c r="D56" s="235"/>
      <c r="E56" s="235"/>
      <c r="F56" s="235"/>
      <c r="G56" s="235"/>
      <c r="H56" s="235"/>
      <c r="I56" s="202"/>
      <c r="J56" s="202"/>
      <c r="K56" s="202"/>
      <c r="L56" s="202"/>
      <c r="M56" s="202"/>
      <c r="N56" s="202"/>
      <c r="O56" s="202"/>
      <c r="P56" s="202"/>
      <c r="Q56" s="202"/>
      <c r="R56" s="202"/>
      <c r="S56" s="202"/>
      <c r="T56" s="202"/>
      <c r="U56" s="202"/>
      <c r="V56" s="202"/>
      <c r="W56" s="202"/>
      <c r="X56" s="202"/>
      <c r="Y56" s="202"/>
      <c r="Z56" s="202"/>
      <c r="AA56" s="202"/>
    </row>
    <row r="57" spans="1:27" ht="13.5" hidden="1" customHeight="1">
      <c r="A57" s="202"/>
      <c r="B57" s="519"/>
      <c r="C57" s="235"/>
      <c r="D57" s="235"/>
      <c r="E57" s="235"/>
      <c r="F57" s="235"/>
      <c r="G57" s="235"/>
      <c r="H57" s="235"/>
      <c r="I57" s="202"/>
      <c r="J57" s="202"/>
      <c r="K57" s="202"/>
      <c r="L57" s="202"/>
      <c r="M57" s="202"/>
      <c r="N57" s="202"/>
      <c r="O57" s="202"/>
      <c r="P57" s="202"/>
      <c r="Q57" s="202"/>
      <c r="R57" s="202"/>
      <c r="S57" s="202"/>
      <c r="T57" s="202"/>
      <c r="U57" s="202"/>
      <c r="V57" s="202"/>
      <c r="W57" s="202"/>
      <c r="X57" s="202"/>
      <c r="Y57" s="202"/>
      <c r="Z57" s="202"/>
      <c r="AA57" s="202"/>
    </row>
    <row r="58" spans="1:27" ht="14.25" hidden="1" customHeight="1">
      <c r="A58" s="202"/>
      <c r="B58" s="1753" t="s">
        <v>602</v>
      </c>
      <c r="C58" s="1753"/>
      <c r="D58" s="1753"/>
      <c r="E58" s="1753"/>
      <c r="F58" s="1753"/>
      <c r="G58" s="1753"/>
      <c r="H58" s="1753"/>
      <c r="I58" s="1753"/>
      <c r="J58" s="202"/>
      <c r="K58" s="202"/>
      <c r="L58" s="202"/>
      <c r="M58" s="202"/>
      <c r="N58" s="202"/>
      <c r="O58" s="202"/>
      <c r="P58" s="202"/>
      <c r="Q58" s="202"/>
      <c r="R58" s="202"/>
      <c r="S58" s="202"/>
      <c r="T58" s="202"/>
      <c r="U58" s="202"/>
      <c r="V58" s="202"/>
      <c r="W58" s="202"/>
      <c r="X58" s="202"/>
      <c r="Y58" s="202"/>
      <c r="Z58" s="202"/>
      <c r="AA58" s="202"/>
    </row>
    <row r="59" spans="1:27" hidden="1">
      <c r="A59" s="202"/>
      <c r="B59" s="1753"/>
      <c r="C59" s="1753"/>
      <c r="D59" s="1753"/>
      <c r="E59" s="1753"/>
      <c r="F59" s="1753"/>
      <c r="G59" s="1753"/>
      <c r="H59" s="1753"/>
      <c r="I59" s="1753"/>
      <c r="J59" s="202"/>
      <c r="K59" s="202"/>
      <c r="L59" s="202"/>
      <c r="M59" s="202"/>
      <c r="N59" s="202"/>
      <c r="O59" s="202"/>
      <c r="P59" s="202"/>
      <c r="Q59" s="202"/>
      <c r="R59" s="202"/>
      <c r="S59" s="202"/>
      <c r="T59" s="202"/>
      <c r="U59" s="202"/>
      <c r="V59" s="202"/>
      <c r="W59" s="202"/>
      <c r="X59" s="202"/>
      <c r="Y59" s="202"/>
      <c r="Z59" s="202"/>
      <c r="AA59" s="202"/>
    </row>
    <row r="60" spans="1:27" ht="14.25" hidden="1" customHeight="1">
      <c r="A60" s="202"/>
      <c r="B60" s="500"/>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row>
    <row r="61" spans="1:27" ht="18" hidden="1" customHeight="1">
      <c r="A61" s="202"/>
      <c r="B61" s="1774" t="s">
        <v>610</v>
      </c>
      <c r="C61" s="1774"/>
      <c r="D61" s="1774"/>
      <c r="E61" s="1774"/>
      <c r="F61" s="1774"/>
      <c r="G61" s="1774"/>
      <c r="H61" s="1774"/>
      <c r="I61" s="1774"/>
      <c r="J61" s="202"/>
      <c r="K61" s="202"/>
      <c r="L61" s="202"/>
      <c r="M61" s="202"/>
      <c r="N61" s="202"/>
      <c r="O61" s="202"/>
      <c r="P61" s="202"/>
      <c r="Q61" s="202"/>
      <c r="R61" s="202"/>
      <c r="S61" s="202"/>
      <c r="T61" s="202"/>
      <c r="U61" s="202"/>
      <c r="V61" s="202"/>
      <c r="W61" s="202"/>
      <c r="X61" s="202"/>
      <c r="Y61" s="202"/>
      <c r="Z61" s="202"/>
      <c r="AA61" s="202"/>
    </row>
    <row r="62" spans="1:27" ht="12" hidden="1" customHeight="1">
      <c r="A62" s="202"/>
      <c r="B62" s="1744" t="s">
        <v>574</v>
      </c>
      <c r="C62" s="1745" t="s">
        <v>218</v>
      </c>
      <c r="D62" s="1745" t="s">
        <v>219</v>
      </c>
      <c r="E62" s="1745" t="s">
        <v>567</v>
      </c>
      <c r="F62" s="1746" t="s">
        <v>569</v>
      </c>
      <c r="G62" s="1746"/>
      <c r="H62" s="1746"/>
      <c r="I62" s="1746"/>
      <c r="J62" s="202"/>
      <c r="K62" s="202"/>
      <c r="L62" s="202"/>
      <c r="M62" s="202"/>
      <c r="N62" s="202"/>
      <c r="O62" s="202"/>
      <c r="P62" s="202"/>
      <c r="Q62" s="202"/>
      <c r="R62" s="202"/>
      <c r="S62" s="202"/>
      <c r="T62" s="202"/>
      <c r="U62" s="202"/>
      <c r="V62" s="202"/>
      <c r="W62" s="202"/>
      <c r="X62" s="202"/>
      <c r="Y62" s="202"/>
      <c r="Z62" s="202"/>
      <c r="AA62" s="202"/>
    </row>
    <row r="63" spans="1:27" ht="21.75" hidden="1" customHeight="1">
      <c r="A63" s="202"/>
      <c r="B63" s="1744"/>
      <c r="C63" s="1745"/>
      <c r="D63" s="1745"/>
      <c r="E63" s="1745"/>
      <c r="F63" s="1747" t="s">
        <v>570</v>
      </c>
      <c r="G63" s="1746" t="s">
        <v>345</v>
      </c>
      <c r="H63" s="1746"/>
      <c r="I63" s="989"/>
      <c r="J63" s="202"/>
      <c r="K63" s="202"/>
      <c r="L63" s="202"/>
      <c r="M63" s="202"/>
      <c r="N63" s="202"/>
      <c r="O63" s="202"/>
      <c r="P63" s="202"/>
      <c r="Q63" s="202"/>
      <c r="R63" s="202"/>
      <c r="S63" s="202"/>
      <c r="T63" s="202"/>
      <c r="U63" s="202"/>
      <c r="V63" s="202"/>
      <c r="W63" s="202"/>
      <c r="X63" s="202"/>
      <c r="Y63" s="202"/>
      <c r="Z63" s="202"/>
      <c r="AA63" s="202"/>
    </row>
    <row r="64" spans="1:27" ht="18.75" hidden="1" customHeight="1">
      <c r="A64" s="202"/>
      <c r="B64" s="1744"/>
      <c r="C64" s="1745"/>
      <c r="D64" s="1745"/>
      <c r="E64" s="1745"/>
      <c r="F64" s="1747"/>
      <c r="G64" s="935" t="s">
        <v>571</v>
      </c>
      <c r="H64" s="935" t="s">
        <v>572</v>
      </c>
      <c r="I64" s="935"/>
      <c r="J64" s="202"/>
      <c r="K64" s="202"/>
      <c r="L64" s="202"/>
      <c r="M64" s="202"/>
      <c r="N64" s="202"/>
      <c r="O64" s="202"/>
      <c r="P64" s="202"/>
      <c r="Q64" s="202"/>
      <c r="R64" s="202"/>
      <c r="S64" s="202"/>
      <c r="T64" s="202"/>
      <c r="U64" s="202"/>
      <c r="V64" s="202"/>
      <c r="W64" s="202"/>
      <c r="X64" s="202"/>
      <c r="Y64" s="202"/>
      <c r="Z64" s="202"/>
      <c r="AA64" s="202"/>
    </row>
    <row r="65" spans="1:27" ht="13.5" hidden="1" customHeight="1">
      <c r="A65" s="202"/>
      <c r="B65" s="519"/>
      <c r="C65" s="235"/>
      <c r="D65" s="235"/>
      <c r="E65" s="235"/>
      <c r="F65" s="235"/>
      <c r="G65" s="235"/>
      <c r="H65" s="235"/>
      <c r="I65" s="235"/>
      <c r="J65" s="202"/>
      <c r="K65" s="202"/>
      <c r="L65" s="202"/>
      <c r="M65" s="202"/>
      <c r="N65" s="202"/>
      <c r="O65" s="202"/>
      <c r="P65" s="202"/>
      <c r="Q65" s="202"/>
      <c r="R65" s="202"/>
      <c r="S65" s="202"/>
      <c r="T65" s="202"/>
      <c r="U65" s="202"/>
      <c r="V65" s="202"/>
      <c r="W65" s="202"/>
      <c r="X65" s="202"/>
      <c r="Y65" s="202"/>
      <c r="Z65" s="202"/>
      <c r="AA65" s="202"/>
    </row>
    <row r="66" spans="1:27" ht="13.5" hidden="1" customHeight="1">
      <c r="A66" s="202"/>
      <c r="B66" s="519"/>
      <c r="C66" s="235"/>
      <c r="D66" s="235"/>
      <c r="E66" s="235"/>
      <c r="F66" s="235"/>
      <c r="G66" s="235"/>
      <c r="H66" s="235"/>
      <c r="I66" s="235"/>
      <c r="J66" s="202"/>
      <c r="K66" s="202"/>
      <c r="L66" s="202"/>
      <c r="M66" s="202"/>
      <c r="N66" s="202"/>
      <c r="O66" s="202"/>
      <c r="P66" s="202"/>
      <c r="Q66" s="202"/>
      <c r="R66" s="202"/>
      <c r="S66" s="202"/>
      <c r="T66" s="202"/>
      <c r="U66" s="202"/>
      <c r="V66" s="202"/>
      <c r="W66" s="202"/>
      <c r="X66" s="202"/>
      <c r="Y66" s="202"/>
      <c r="Z66" s="202"/>
      <c r="AA66" s="202"/>
    </row>
    <row r="67" spans="1:27" ht="13.5" hidden="1" customHeight="1">
      <c r="A67" s="202"/>
      <c r="B67" s="519"/>
      <c r="C67" s="235"/>
      <c r="D67" s="235"/>
      <c r="E67" s="235"/>
      <c r="F67" s="235"/>
      <c r="G67" s="235"/>
      <c r="H67" s="235"/>
      <c r="I67" s="235"/>
      <c r="J67" s="202"/>
      <c r="K67" s="202"/>
      <c r="L67" s="202"/>
      <c r="M67" s="202"/>
      <c r="N67" s="202"/>
      <c r="O67" s="202"/>
      <c r="P67" s="202"/>
      <c r="Q67" s="202"/>
      <c r="R67" s="202"/>
      <c r="S67" s="202"/>
      <c r="T67" s="202"/>
      <c r="U67" s="202"/>
      <c r="V67" s="202"/>
      <c r="W67" s="202"/>
      <c r="X67" s="202"/>
      <c r="Y67" s="202"/>
      <c r="Z67" s="202"/>
      <c r="AA67" s="202"/>
    </row>
    <row r="68" spans="1:27" ht="13.5" hidden="1" customHeight="1">
      <c r="A68" s="202"/>
      <c r="B68" s="519"/>
      <c r="C68" s="235"/>
      <c r="D68" s="235"/>
      <c r="E68" s="235"/>
      <c r="F68" s="235"/>
      <c r="G68" s="235"/>
      <c r="H68" s="235"/>
      <c r="I68" s="235"/>
      <c r="J68" s="202"/>
      <c r="K68" s="202"/>
      <c r="L68" s="202"/>
      <c r="M68" s="202"/>
      <c r="N68" s="202"/>
      <c r="O68" s="202"/>
      <c r="P68" s="202"/>
      <c r="Q68" s="202"/>
      <c r="R68" s="202"/>
      <c r="S68" s="202"/>
      <c r="T68" s="202"/>
      <c r="U68" s="202"/>
      <c r="V68" s="202"/>
      <c r="W68" s="202"/>
      <c r="X68" s="202"/>
      <c r="Y68" s="202"/>
      <c r="Z68" s="202"/>
      <c r="AA68" s="202"/>
    </row>
    <row r="69" spans="1:27" ht="13.5" hidden="1" customHeight="1">
      <c r="A69" s="202"/>
      <c r="B69" s="519"/>
      <c r="C69" s="235"/>
      <c r="D69" s="235"/>
      <c r="E69" s="235"/>
      <c r="F69" s="235"/>
      <c r="G69" s="235"/>
      <c r="H69" s="235"/>
      <c r="I69" s="235"/>
      <c r="J69" s="202"/>
      <c r="K69" s="202"/>
      <c r="L69" s="202"/>
      <c r="M69" s="202"/>
      <c r="N69" s="202"/>
      <c r="O69" s="202"/>
      <c r="P69" s="202"/>
      <c r="Q69" s="202"/>
      <c r="R69" s="202"/>
      <c r="S69" s="202"/>
      <c r="T69" s="202"/>
      <c r="U69" s="202"/>
      <c r="V69" s="202"/>
      <c r="W69" s="202"/>
      <c r="X69" s="202"/>
      <c r="Y69" s="202"/>
      <c r="Z69" s="202"/>
      <c r="AA69" s="202"/>
    </row>
    <row r="70" spans="1:27" ht="12" hidden="1" customHeight="1">
      <c r="A70" s="202"/>
      <c r="B70" s="500"/>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row>
    <row r="71" spans="1:27" ht="18" hidden="1" customHeight="1">
      <c r="A71" s="202"/>
      <c r="B71" s="1774" t="s">
        <v>614</v>
      </c>
      <c r="C71" s="1774"/>
      <c r="D71" s="1774"/>
      <c r="E71" s="1774"/>
      <c r="F71" s="202"/>
      <c r="G71" s="202"/>
      <c r="H71" s="202"/>
      <c r="I71" s="202"/>
      <c r="J71" s="202"/>
      <c r="K71" s="202"/>
      <c r="L71" s="202"/>
      <c r="M71" s="202"/>
      <c r="N71" s="202"/>
      <c r="O71" s="202"/>
      <c r="P71" s="202"/>
      <c r="Q71" s="202"/>
      <c r="R71" s="202"/>
      <c r="S71" s="202"/>
      <c r="T71" s="202"/>
      <c r="U71" s="202"/>
      <c r="V71" s="202"/>
      <c r="W71" s="202"/>
      <c r="X71" s="202"/>
      <c r="Y71" s="202"/>
      <c r="Z71" s="202"/>
      <c r="AA71" s="202"/>
    </row>
    <row r="72" spans="1:27" ht="12" hidden="1" customHeight="1">
      <c r="A72" s="202"/>
      <c r="B72" s="1744" t="s">
        <v>574</v>
      </c>
      <c r="C72" s="1745" t="s">
        <v>218</v>
      </c>
      <c r="D72" s="1745" t="s">
        <v>219</v>
      </c>
      <c r="E72" s="1745" t="s">
        <v>567</v>
      </c>
      <c r="F72" s="202"/>
      <c r="G72" s="202"/>
      <c r="H72" s="202"/>
      <c r="I72" s="202"/>
      <c r="J72" s="202"/>
      <c r="K72" s="202"/>
      <c r="L72" s="202"/>
      <c r="M72" s="202"/>
      <c r="N72" s="202"/>
      <c r="O72" s="202"/>
      <c r="P72" s="202"/>
      <c r="Q72" s="202"/>
      <c r="R72" s="202"/>
      <c r="S72" s="202"/>
      <c r="T72" s="202"/>
      <c r="U72" s="202"/>
      <c r="V72" s="202"/>
      <c r="W72" s="202"/>
      <c r="X72" s="202"/>
      <c r="Y72" s="202"/>
      <c r="Z72" s="202"/>
      <c r="AA72" s="202"/>
    </row>
    <row r="73" spans="1:27" ht="12" hidden="1" customHeight="1">
      <c r="A73" s="202"/>
      <c r="B73" s="1744"/>
      <c r="C73" s="1745"/>
      <c r="D73" s="1745"/>
      <c r="E73" s="1745"/>
      <c r="F73" s="202"/>
      <c r="G73" s="202"/>
      <c r="H73" s="202"/>
      <c r="I73" s="202"/>
      <c r="J73" s="202"/>
      <c r="K73" s="202"/>
      <c r="L73" s="202"/>
      <c r="M73" s="202"/>
      <c r="N73" s="202"/>
      <c r="O73" s="202"/>
      <c r="P73" s="202"/>
      <c r="Q73" s="202"/>
      <c r="R73" s="202"/>
      <c r="S73" s="202"/>
      <c r="T73" s="202"/>
      <c r="U73" s="202"/>
      <c r="V73" s="202"/>
      <c r="W73" s="202"/>
      <c r="X73" s="202"/>
      <c r="Y73" s="202"/>
      <c r="Z73" s="202"/>
      <c r="AA73" s="202"/>
    </row>
    <row r="74" spans="1:27" ht="12" hidden="1" customHeight="1">
      <c r="A74" s="202"/>
      <c r="B74" s="1744"/>
      <c r="C74" s="1745"/>
      <c r="D74" s="1745"/>
      <c r="E74" s="1745"/>
      <c r="F74" s="202"/>
      <c r="G74" s="202"/>
      <c r="H74" s="202"/>
      <c r="I74" s="202"/>
      <c r="J74" s="202"/>
      <c r="K74" s="202"/>
      <c r="L74" s="202"/>
      <c r="M74" s="202"/>
      <c r="N74" s="202"/>
      <c r="O74" s="202"/>
      <c r="P74" s="202"/>
      <c r="Q74" s="202"/>
      <c r="R74" s="202"/>
      <c r="S74" s="202"/>
      <c r="T74" s="202"/>
      <c r="U74" s="202"/>
      <c r="V74" s="202"/>
      <c r="W74" s="202"/>
      <c r="X74" s="202"/>
      <c r="Y74" s="202"/>
      <c r="Z74" s="202"/>
      <c r="AA74" s="202"/>
    </row>
    <row r="75" spans="1:27" ht="13.5" hidden="1" customHeight="1">
      <c r="A75" s="202"/>
      <c r="B75" s="519"/>
      <c r="C75" s="235"/>
      <c r="D75" s="235"/>
      <c r="E75" s="235"/>
      <c r="F75" s="202"/>
      <c r="G75" s="202"/>
      <c r="H75" s="202"/>
      <c r="I75" s="202"/>
      <c r="J75" s="202"/>
      <c r="K75" s="202"/>
      <c r="L75" s="202"/>
      <c r="M75" s="202"/>
      <c r="N75" s="202"/>
      <c r="O75" s="202"/>
      <c r="P75" s="202"/>
      <c r="Q75" s="202"/>
      <c r="R75" s="202"/>
      <c r="S75" s="202"/>
      <c r="T75" s="202"/>
      <c r="U75" s="202"/>
      <c r="V75" s="202"/>
      <c r="W75" s="202"/>
      <c r="X75" s="202"/>
      <c r="Y75" s="202"/>
      <c r="Z75" s="202"/>
      <c r="AA75" s="202"/>
    </row>
    <row r="76" spans="1:27" ht="13.5" hidden="1" customHeight="1">
      <c r="A76" s="202"/>
      <c r="B76" s="519"/>
      <c r="C76" s="235"/>
      <c r="D76" s="235"/>
      <c r="E76" s="235"/>
      <c r="F76" s="202"/>
      <c r="G76" s="202"/>
      <c r="H76" s="202"/>
      <c r="I76" s="202"/>
      <c r="J76" s="202"/>
      <c r="K76" s="202"/>
      <c r="L76" s="202"/>
      <c r="M76" s="202"/>
      <c r="N76" s="202"/>
      <c r="O76" s="202"/>
      <c r="P76" s="202"/>
      <c r="Q76" s="202"/>
      <c r="R76" s="202"/>
      <c r="S76" s="202"/>
      <c r="T76" s="202"/>
      <c r="U76" s="202"/>
      <c r="V76" s="202"/>
      <c r="W76" s="202"/>
      <c r="X76" s="202"/>
      <c r="Y76" s="202"/>
      <c r="Z76" s="202"/>
      <c r="AA76" s="202"/>
    </row>
    <row r="77" spans="1:27" ht="13.5" hidden="1" customHeight="1">
      <c r="A77" s="202"/>
      <c r="B77" s="519"/>
      <c r="C77" s="235"/>
      <c r="D77" s="235"/>
      <c r="E77" s="235"/>
      <c r="F77" s="202"/>
      <c r="G77" s="202"/>
      <c r="H77" s="202"/>
      <c r="I77" s="202"/>
      <c r="J77" s="202"/>
      <c r="K77" s="202"/>
      <c r="L77" s="202"/>
      <c r="M77" s="202"/>
      <c r="N77" s="202"/>
      <c r="O77" s="202"/>
      <c r="P77" s="202"/>
      <c r="Q77" s="202"/>
      <c r="R77" s="202"/>
      <c r="S77" s="202"/>
      <c r="T77" s="202"/>
      <c r="U77" s="202"/>
      <c r="V77" s="202"/>
      <c r="W77" s="202"/>
      <c r="X77" s="202"/>
      <c r="Y77" s="202"/>
      <c r="Z77" s="202"/>
      <c r="AA77" s="202"/>
    </row>
    <row r="78" spans="1:27" ht="13.5" hidden="1" customHeight="1">
      <c r="A78" s="202"/>
      <c r="B78" s="519"/>
      <c r="C78" s="235"/>
      <c r="D78" s="235"/>
      <c r="E78" s="235"/>
      <c r="F78" s="202"/>
      <c r="G78" s="202"/>
      <c r="H78" s="202"/>
      <c r="I78" s="202"/>
      <c r="J78" s="202"/>
      <c r="K78" s="202"/>
      <c r="L78" s="202"/>
      <c r="M78" s="202"/>
      <c r="N78" s="202"/>
      <c r="O78" s="202"/>
      <c r="P78" s="202"/>
      <c r="Q78" s="202"/>
      <c r="R78" s="202"/>
      <c r="S78" s="202"/>
      <c r="T78" s="202"/>
      <c r="U78" s="202"/>
      <c r="V78" s="202"/>
      <c r="W78" s="202"/>
      <c r="X78" s="202"/>
      <c r="Y78" s="202"/>
      <c r="Z78" s="202"/>
      <c r="AA78" s="202"/>
    </row>
    <row r="79" spans="1:27" ht="13.5" hidden="1" customHeight="1">
      <c r="A79" s="202"/>
      <c r="B79" s="519"/>
      <c r="C79" s="235"/>
      <c r="D79" s="235"/>
      <c r="E79" s="235"/>
      <c r="F79" s="202"/>
      <c r="G79" s="202"/>
      <c r="H79" s="202"/>
      <c r="I79" s="202"/>
      <c r="J79" s="202"/>
      <c r="K79" s="202"/>
      <c r="L79" s="202"/>
      <c r="M79" s="202"/>
      <c r="N79" s="202"/>
      <c r="O79" s="202"/>
      <c r="P79" s="202"/>
      <c r="Q79" s="202"/>
      <c r="R79" s="202"/>
      <c r="S79" s="202"/>
      <c r="T79" s="202"/>
      <c r="U79" s="202"/>
      <c r="V79" s="202"/>
      <c r="W79" s="202"/>
      <c r="X79" s="202"/>
      <c r="Y79" s="202"/>
      <c r="Z79" s="202"/>
      <c r="AA79" s="202"/>
    </row>
    <row r="80" spans="1:27" ht="14" hidden="1" customHeight="1">
      <c r="A80" s="202"/>
      <c r="B80" s="500"/>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2"/>
      <c r="AA80" s="202"/>
    </row>
    <row r="81" spans="1:27" ht="18" customHeight="1">
      <c r="A81" s="202"/>
      <c r="B81" s="1774" t="s">
        <v>585</v>
      </c>
      <c r="C81" s="1780"/>
      <c r="D81" s="1780"/>
      <c r="E81" s="1780"/>
      <c r="F81" s="1780"/>
      <c r="G81" s="1781"/>
      <c r="H81" s="934"/>
      <c r="I81" s="934"/>
      <c r="J81" s="202"/>
      <c r="K81" s="202"/>
      <c r="L81" s="202"/>
      <c r="M81" s="202"/>
      <c r="N81" s="202"/>
      <c r="O81" s="202"/>
      <c r="P81" s="202"/>
      <c r="Q81" s="202"/>
      <c r="R81" s="202"/>
      <c r="S81" s="202"/>
      <c r="T81" s="202"/>
      <c r="U81" s="202"/>
      <c r="V81" s="202"/>
      <c r="W81" s="202"/>
      <c r="X81" s="202"/>
      <c r="Y81" s="202"/>
      <c r="Z81" s="202"/>
      <c r="AA81" s="202"/>
    </row>
    <row r="82" spans="1:27" ht="30" customHeight="1">
      <c r="A82" s="202"/>
      <c r="B82" s="517" t="s">
        <v>1280</v>
      </c>
      <c r="C82" s="1790" t="s">
        <v>1273</v>
      </c>
      <c r="D82" s="1791"/>
      <c r="E82" s="1792" t="s">
        <v>1282</v>
      </c>
      <c r="F82" s="1793"/>
      <c r="G82" s="1790" t="s">
        <v>1283</v>
      </c>
      <c r="H82" s="1795"/>
      <c r="I82" s="1796" t="s">
        <v>1281</v>
      </c>
      <c r="J82" s="1797"/>
      <c r="K82" s="202"/>
      <c r="L82" s="202"/>
      <c r="M82" s="202"/>
      <c r="N82" s="202"/>
      <c r="O82" s="202"/>
      <c r="P82" s="202"/>
      <c r="Q82" s="202"/>
      <c r="R82" s="202"/>
      <c r="S82" s="202"/>
      <c r="T82" s="202"/>
      <c r="U82" s="202"/>
      <c r="V82" s="202"/>
      <c r="W82" s="202"/>
      <c r="X82" s="202"/>
      <c r="Y82" s="202"/>
      <c r="Z82" s="202"/>
      <c r="AA82" s="202"/>
    </row>
    <row r="83" spans="1:27" ht="14" customHeight="1">
      <c r="A83" s="202"/>
      <c r="B83" s="526">
        <v>1</v>
      </c>
      <c r="C83" s="1769"/>
      <c r="D83" s="1769"/>
      <c r="E83" s="1769"/>
      <c r="F83" s="1769"/>
      <c r="G83" s="1769"/>
      <c r="H83" s="1769"/>
      <c r="I83" s="1782"/>
      <c r="J83" s="1783"/>
      <c r="K83" s="202"/>
      <c r="L83" s="202"/>
      <c r="M83" s="202"/>
      <c r="N83" s="202"/>
      <c r="O83" s="202"/>
      <c r="P83" s="202"/>
      <c r="Q83" s="202"/>
      <c r="R83" s="202"/>
      <c r="S83" s="202"/>
      <c r="T83" s="202"/>
      <c r="U83" s="202"/>
      <c r="V83" s="202"/>
      <c r="W83" s="202"/>
      <c r="X83" s="202"/>
      <c r="Y83" s="202"/>
      <c r="Z83" s="202"/>
      <c r="AA83" s="202"/>
    </row>
    <row r="84" spans="1:27" ht="14" customHeight="1">
      <c r="A84" s="202"/>
      <c r="B84" s="526">
        <v>2</v>
      </c>
      <c r="C84" s="1769"/>
      <c r="D84" s="1769"/>
      <c r="E84" s="1769"/>
      <c r="F84" s="1769"/>
      <c r="G84" s="1769"/>
      <c r="H84" s="1769"/>
      <c r="I84" s="1782"/>
      <c r="J84" s="1783"/>
      <c r="K84" s="202"/>
      <c r="L84" s="202"/>
      <c r="M84" s="202"/>
      <c r="N84" s="202"/>
      <c r="O84" s="202"/>
      <c r="P84" s="202"/>
      <c r="Q84" s="202"/>
      <c r="R84" s="202"/>
      <c r="S84" s="202"/>
      <c r="T84" s="202"/>
      <c r="U84" s="202"/>
      <c r="V84" s="202"/>
      <c r="W84" s="202"/>
      <c r="X84" s="202"/>
      <c r="Y84" s="202"/>
      <c r="Z84" s="202"/>
      <c r="AA84" s="202"/>
    </row>
    <row r="85" spans="1:27" ht="14" customHeight="1">
      <c r="A85" s="202"/>
      <c r="B85" s="526">
        <v>3</v>
      </c>
      <c r="C85" s="1769"/>
      <c r="D85" s="1769"/>
      <c r="E85" s="1769"/>
      <c r="F85" s="1769"/>
      <c r="G85" s="1769"/>
      <c r="H85" s="1769"/>
      <c r="I85" s="1782"/>
      <c r="J85" s="1783"/>
      <c r="K85" s="202"/>
      <c r="L85" s="202"/>
      <c r="M85" s="202"/>
      <c r="N85" s="202"/>
      <c r="O85" s="202"/>
      <c r="P85" s="202"/>
      <c r="Q85" s="202"/>
      <c r="R85" s="202"/>
      <c r="S85" s="202"/>
      <c r="T85" s="202"/>
      <c r="U85" s="202"/>
      <c r="V85" s="202"/>
      <c r="W85" s="202"/>
      <c r="X85" s="202"/>
      <c r="Y85" s="202"/>
      <c r="Z85" s="202"/>
      <c r="AA85" s="202"/>
    </row>
    <row r="86" spans="1:27" ht="14" customHeight="1">
      <c r="A86" s="202"/>
      <c r="B86" s="526">
        <v>4</v>
      </c>
      <c r="C86" s="1769"/>
      <c r="D86" s="1769"/>
      <c r="E86" s="1769"/>
      <c r="F86" s="1769"/>
      <c r="G86" s="1769"/>
      <c r="H86" s="1769"/>
      <c r="I86" s="1782"/>
      <c r="J86" s="1783"/>
      <c r="K86" s="202"/>
      <c r="L86" s="202"/>
      <c r="M86" s="202"/>
      <c r="N86" s="202"/>
      <c r="O86" s="202"/>
      <c r="P86" s="202"/>
      <c r="Q86" s="202"/>
      <c r="R86" s="202"/>
      <c r="S86" s="202"/>
      <c r="T86" s="202"/>
      <c r="U86" s="202"/>
      <c r="V86" s="202"/>
      <c r="W86" s="202"/>
      <c r="X86" s="202"/>
      <c r="Y86" s="202"/>
      <c r="Z86" s="202"/>
      <c r="AA86" s="202"/>
    </row>
    <row r="87" spans="1:27" ht="14" customHeight="1">
      <c r="A87" s="202"/>
      <c r="B87" s="526">
        <v>5</v>
      </c>
      <c r="C87" s="1769"/>
      <c r="D87" s="1769"/>
      <c r="E87" s="1769"/>
      <c r="F87" s="1769"/>
      <c r="G87" s="1769"/>
      <c r="H87" s="1769"/>
      <c r="I87" s="1782"/>
      <c r="J87" s="1783"/>
      <c r="K87" s="202"/>
      <c r="L87" s="202"/>
      <c r="M87" s="202"/>
      <c r="N87" s="202"/>
      <c r="O87" s="202"/>
      <c r="P87" s="202"/>
      <c r="Q87" s="202"/>
      <c r="R87" s="202"/>
      <c r="S87" s="202"/>
      <c r="T87" s="202"/>
      <c r="U87" s="202"/>
      <c r="V87" s="202"/>
      <c r="W87" s="202"/>
      <c r="X87" s="202"/>
      <c r="Y87" s="202"/>
      <c r="Z87" s="202"/>
      <c r="AA87" s="202"/>
    </row>
    <row r="88" spans="1:27" ht="14" customHeight="1">
      <c r="A88" s="202"/>
      <c r="B88" s="526">
        <v>6</v>
      </c>
      <c r="C88" s="1769"/>
      <c r="D88" s="1769"/>
      <c r="E88" s="1769"/>
      <c r="F88" s="1769"/>
      <c r="G88" s="1769"/>
      <c r="H88" s="1769"/>
      <c r="I88" s="1782"/>
      <c r="J88" s="1783"/>
      <c r="K88" s="202"/>
      <c r="L88" s="202"/>
      <c r="M88" s="202"/>
      <c r="N88" s="202"/>
      <c r="O88" s="202"/>
      <c r="P88" s="202"/>
      <c r="Q88" s="202"/>
      <c r="R88" s="202"/>
      <c r="S88" s="202"/>
      <c r="T88" s="202"/>
      <c r="U88" s="202"/>
      <c r="V88" s="202"/>
      <c r="W88" s="202"/>
      <c r="X88" s="202"/>
      <c r="Y88" s="202"/>
      <c r="Z88" s="202"/>
      <c r="AA88" s="202"/>
    </row>
    <row r="89" spans="1:27" ht="14" customHeight="1">
      <c r="A89" s="202"/>
      <c r="B89" s="526">
        <v>7</v>
      </c>
      <c r="C89" s="1769"/>
      <c r="D89" s="1769"/>
      <c r="E89" s="1769"/>
      <c r="F89" s="1769"/>
      <c r="G89" s="1769"/>
      <c r="H89" s="1769"/>
      <c r="I89" s="1782"/>
      <c r="J89" s="1783"/>
      <c r="K89" s="202"/>
      <c r="L89" s="202"/>
      <c r="M89" s="202"/>
      <c r="N89" s="202"/>
      <c r="O89" s="202"/>
      <c r="P89" s="202"/>
      <c r="Q89" s="202"/>
      <c r="R89" s="202"/>
      <c r="S89" s="202"/>
      <c r="T89" s="202"/>
      <c r="U89" s="202"/>
      <c r="V89" s="202"/>
      <c r="W89" s="202"/>
      <c r="X89" s="202"/>
      <c r="Y89" s="202"/>
      <c r="Z89" s="202"/>
      <c r="AA89" s="202"/>
    </row>
    <row r="90" spans="1:27" ht="14" customHeight="1">
      <c r="A90" s="202"/>
      <c r="B90" s="526">
        <v>8</v>
      </c>
      <c r="C90" s="1769"/>
      <c r="D90" s="1769"/>
      <c r="E90" s="1769"/>
      <c r="F90" s="1769"/>
      <c r="G90" s="1769"/>
      <c r="H90" s="1769"/>
      <c r="I90" s="1782"/>
      <c r="J90" s="1783"/>
      <c r="K90" s="202"/>
      <c r="L90" s="202"/>
      <c r="M90" s="202"/>
      <c r="N90" s="202"/>
      <c r="O90" s="202"/>
      <c r="P90" s="202"/>
      <c r="Q90" s="202"/>
      <c r="R90" s="202"/>
      <c r="S90" s="202"/>
      <c r="T90" s="202"/>
      <c r="U90" s="202"/>
      <c r="V90" s="202"/>
      <c r="W90" s="202"/>
      <c r="X90" s="202"/>
      <c r="Y90" s="202"/>
      <c r="Z90" s="202"/>
      <c r="AA90" s="202"/>
    </row>
    <row r="91" spans="1:27" ht="14" customHeight="1">
      <c r="A91" s="202"/>
      <c r="B91" s="526">
        <v>9</v>
      </c>
      <c r="C91" s="1769"/>
      <c r="D91" s="1769"/>
      <c r="E91" s="1769"/>
      <c r="F91" s="1769"/>
      <c r="G91" s="1769"/>
      <c r="H91" s="1769"/>
      <c r="I91" s="1782"/>
      <c r="J91" s="1783"/>
      <c r="K91" s="202"/>
      <c r="L91" s="202"/>
      <c r="M91" s="202"/>
      <c r="N91" s="202"/>
      <c r="O91" s="202"/>
      <c r="P91" s="202"/>
      <c r="Q91" s="202"/>
      <c r="R91" s="202"/>
      <c r="S91" s="202"/>
      <c r="T91" s="202"/>
      <c r="U91" s="202"/>
      <c r="V91" s="202"/>
      <c r="W91" s="202"/>
      <c r="X91" s="202"/>
      <c r="Y91" s="202"/>
      <c r="Z91" s="202"/>
      <c r="AA91" s="202"/>
    </row>
    <row r="92" spans="1:27" ht="14" customHeight="1">
      <c r="A92" s="202"/>
      <c r="B92" s="526">
        <v>10</v>
      </c>
      <c r="C92" s="1769"/>
      <c r="D92" s="1769"/>
      <c r="E92" s="1769"/>
      <c r="F92" s="1769"/>
      <c r="G92" s="1769"/>
      <c r="H92" s="1769"/>
      <c r="I92" s="1782"/>
      <c r="J92" s="1783"/>
      <c r="K92" s="202"/>
      <c r="L92" s="202"/>
      <c r="M92" s="202"/>
      <c r="N92" s="202"/>
      <c r="O92" s="202"/>
      <c r="P92" s="202"/>
      <c r="Q92" s="202"/>
      <c r="R92" s="202"/>
      <c r="S92" s="202"/>
      <c r="T92" s="202"/>
      <c r="U92" s="202"/>
      <c r="V92" s="202"/>
      <c r="W92" s="202"/>
      <c r="X92" s="202"/>
      <c r="Y92" s="202"/>
      <c r="Z92" s="202"/>
      <c r="AA92" s="202"/>
    </row>
    <row r="93" spans="1:27" ht="14" customHeight="1">
      <c r="A93" s="202"/>
      <c r="B93" s="526">
        <v>11</v>
      </c>
      <c r="C93" s="1769"/>
      <c r="D93" s="1769"/>
      <c r="E93" s="1769"/>
      <c r="F93" s="1769"/>
      <c r="G93" s="1769"/>
      <c r="H93" s="1769"/>
      <c r="I93" s="1782"/>
      <c r="J93" s="1783"/>
      <c r="K93" s="202"/>
      <c r="L93" s="202"/>
      <c r="M93" s="202"/>
      <c r="N93" s="202"/>
      <c r="O93" s="202"/>
      <c r="P93" s="202"/>
      <c r="Q93" s="202"/>
      <c r="R93" s="202"/>
      <c r="S93" s="202"/>
      <c r="T93" s="202"/>
      <c r="U93" s="202"/>
      <c r="V93" s="202"/>
      <c r="W93" s="202"/>
      <c r="X93" s="202"/>
      <c r="Y93" s="202"/>
      <c r="Z93" s="202"/>
      <c r="AA93" s="202"/>
    </row>
    <row r="94" spans="1:27" ht="14" customHeight="1">
      <c r="A94" s="202"/>
      <c r="B94" s="526">
        <v>12</v>
      </c>
      <c r="C94" s="1769"/>
      <c r="D94" s="1769"/>
      <c r="E94" s="1769"/>
      <c r="F94" s="1769"/>
      <c r="G94" s="1769"/>
      <c r="H94" s="1769"/>
      <c r="I94" s="1782"/>
      <c r="J94" s="1783"/>
      <c r="K94" s="202"/>
      <c r="L94" s="202"/>
      <c r="M94" s="202"/>
      <c r="N94" s="202"/>
      <c r="O94" s="202"/>
      <c r="P94" s="202"/>
      <c r="Q94" s="202"/>
      <c r="R94" s="202"/>
      <c r="S94" s="202"/>
      <c r="T94" s="202"/>
      <c r="U94" s="202"/>
      <c r="V94" s="202"/>
      <c r="W94" s="202"/>
      <c r="X94" s="202"/>
      <c r="Y94" s="202"/>
      <c r="Z94" s="202"/>
      <c r="AA94" s="202"/>
    </row>
    <row r="95" spans="1:27" ht="14" customHeight="1">
      <c r="A95" s="202"/>
      <c r="B95" s="526">
        <v>13</v>
      </c>
      <c r="C95" s="1769"/>
      <c r="D95" s="1769"/>
      <c r="E95" s="1769"/>
      <c r="F95" s="1769"/>
      <c r="G95" s="1769"/>
      <c r="H95" s="1769"/>
      <c r="I95" s="1782"/>
      <c r="J95" s="1783"/>
      <c r="K95" s="202"/>
      <c r="L95" s="202"/>
      <c r="M95" s="202"/>
      <c r="N95" s="202"/>
      <c r="O95" s="202"/>
      <c r="P95" s="202"/>
      <c r="Q95" s="202"/>
      <c r="R95" s="202"/>
      <c r="S95" s="202"/>
      <c r="T95" s="202"/>
      <c r="U95" s="202"/>
      <c r="V95" s="202"/>
      <c r="W95" s="202"/>
      <c r="X95" s="202"/>
      <c r="Y95" s="202"/>
      <c r="Z95" s="202"/>
      <c r="AA95" s="202"/>
    </row>
    <row r="96" spans="1:27" ht="14" customHeight="1">
      <c r="A96" s="202"/>
      <c r="B96" s="526">
        <v>14</v>
      </c>
      <c r="C96" s="1769"/>
      <c r="D96" s="1769"/>
      <c r="E96" s="1769"/>
      <c r="F96" s="1769"/>
      <c r="G96" s="1769"/>
      <c r="H96" s="1769"/>
      <c r="I96" s="1782"/>
      <c r="J96" s="1783"/>
      <c r="K96" s="202"/>
      <c r="L96" s="202"/>
      <c r="M96" s="202"/>
      <c r="N96" s="202"/>
      <c r="O96" s="202"/>
      <c r="P96" s="202"/>
      <c r="Q96" s="202"/>
      <c r="R96" s="202"/>
      <c r="S96" s="202"/>
      <c r="T96" s="202"/>
      <c r="U96" s="202"/>
      <c r="V96" s="202"/>
      <c r="W96" s="202"/>
      <c r="X96" s="202"/>
      <c r="Y96" s="202"/>
      <c r="Z96" s="202"/>
      <c r="AA96" s="202"/>
    </row>
    <row r="97" spans="1:27" ht="14" customHeight="1">
      <c r="A97" s="202"/>
      <c r="B97" s="526">
        <v>15</v>
      </c>
      <c r="C97" s="1769"/>
      <c r="D97" s="1769"/>
      <c r="E97" s="1769"/>
      <c r="F97" s="1769"/>
      <c r="G97" s="1769"/>
      <c r="H97" s="1769"/>
      <c r="I97" s="1782"/>
      <c r="J97" s="1783"/>
      <c r="K97" s="202"/>
      <c r="L97" s="202"/>
      <c r="M97" s="202"/>
      <c r="N97" s="202"/>
      <c r="O97" s="202"/>
      <c r="P97" s="202"/>
      <c r="Q97" s="202"/>
      <c r="R97" s="202"/>
      <c r="S97" s="202"/>
      <c r="T97" s="202"/>
      <c r="U97" s="202"/>
      <c r="V97" s="202"/>
      <c r="W97" s="202"/>
      <c r="X97" s="202"/>
      <c r="Y97" s="202"/>
      <c r="Z97" s="202"/>
      <c r="AA97" s="202"/>
    </row>
    <row r="98" spans="1:27" ht="14" customHeight="1">
      <c r="A98" s="202"/>
      <c r="B98" s="526">
        <v>16</v>
      </c>
      <c r="C98" s="1769"/>
      <c r="D98" s="1769"/>
      <c r="E98" s="1769"/>
      <c r="F98" s="1769"/>
      <c r="G98" s="1769"/>
      <c r="H98" s="1769"/>
      <c r="I98" s="1782"/>
      <c r="J98" s="1783"/>
      <c r="K98" s="202"/>
      <c r="L98" s="202"/>
      <c r="M98" s="202"/>
      <c r="N98" s="202"/>
      <c r="O98" s="202"/>
      <c r="P98" s="202"/>
      <c r="Q98" s="202"/>
      <c r="R98" s="202"/>
      <c r="S98" s="202"/>
      <c r="T98" s="202"/>
      <c r="U98" s="202"/>
      <c r="V98" s="202"/>
      <c r="W98" s="202"/>
      <c r="X98" s="202"/>
      <c r="Y98" s="202"/>
      <c r="Z98" s="202"/>
      <c r="AA98" s="202"/>
    </row>
    <row r="99" spans="1:27">
      <c r="A99" s="202"/>
      <c r="B99" s="526">
        <v>17</v>
      </c>
      <c r="C99" s="1769"/>
      <c r="D99" s="1769"/>
      <c r="E99" s="1769"/>
      <c r="F99" s="1769"/>
      <c r="G99" s="1769"/>
      <c r="H99" s="1769"/>
      <c r="I99" s="1782"/>
      <c r="J99" s="1783"/>
      <c r="K99" s="202"/>
      <c r="L99" s="202"/>
      <c r="M99" s="202"/>
      <c r="N99" s="202"/>
      <c r="O99" s="202"/>
      <c r="P99" s="202"/>
      <c r="Q99" s="202"/>
      <c r="R99" s="202"/>
      <c r="S99" s="202"/>
      <c r="T99" s="202"/>
      <c r="U99" s="202"/>
      <c r="V99" s="202"/>
      <c r="W99" s="202"/>
      <c r="X99" s="202"/>
      <c r="Y99" s="202"/>
      <c r="Z99" s="202"/>
      <c r="AA99" s="202"/>
    </row>
    <row r="100" spans="1:27">
      <c r="A100" s="202"/>
      <c r="B100" s="526">
        <v>18</v>
      </c>
      <c r="C100" s="1769"/>
      <c r="D100" s="1769"/>
      <c r="E100" s="1769"/>
      <c r="F100" s="1769"/>
      <c r="G100" s="1769"/>
      <c r="H100" s="1769"/>
      <c r="I100" s="1782"/>
      <c r="J100" s="1783"/>
      <c r="K100" s="202"/>
      <c r="L100" s="202"/>
      <c r="M100" s="202"/>
      <c r="N100" s="202"/>
      <c r="O100" s="202"/>
      <c r="P100" s="202"/>
      <c r="Q100" s="202"/>
      <c r="R100" s="202"/>
      <c r="S100" s="202"/>
      <c r="T100" s="202"/>
      <c r="U100" s="202"/>
      <c r="V100" s="202"/>
      <c r="W100" s="202"/>
      <c r="X100" s="202"/>
      <c r="Y100" s="202"/>
      <c r="Z100" s="202"/>
      <c r="AA100" s="202"/>
    </row>
    <row r="101" spans="1:27">
      <c r="A101" s="202"/>
      <c r="B101" s="526">
        <v>19</v>
      </c>
      <c r="C101" s="1769"/>
      <c r="D101" s="1769"/>
      <c r="E101" s="1769"/>
      <c r="F101" s="1769"/>
      <c r="G101" s="1769"/>
      <c r="H101" s="1769"/>
      <c r="I101" s="1782"/>
      <c r="J101" s="1783"/>
      <c r="K101" s="202"/>
      <c r="L101" s="202"/>
      <c r="M101" s="202"/>
      <c r="N101" s="202"/>
      <c r="O101" s="202"/>
      <c r="P101" s="202"/>
      <c r="Q101" s="202"/>
      <c r="R101" s="202"/>
      <c r="S101" s="202"/>
      <c r="T101" s="202"/>
      <c r="U101" s="202"/>
      <c r="V101" s="202"/>
      <c r="W101" s="202"/>
      <c r="X101" s="202"/>
      <c r="Y101" s="202"/>
      <c r="Z101" s="202"/>
      <c r="AA101" s="202"/>
    </row>
    <row r="102" spans="1:27">
      <c r="A102" s="202"/>
      <c r="B102" s="526">
        <v>20</v>
      </c>
      <c r="C102" s="1769"/>
      <c r="D102" s="1769"/>
      <c r="E102" s="1769"/>
      <c r="F102" s="1769"/>
      <c r="G102" s="1769"/>
      <c r="H102" s="1769"/>
      <c r="I102" s="1782"/>
      <c r="J102" s="1783"/>
      <c r="K102" s="202"/>
      <c r="L102" s="202"/>
      <c r="M102" s="202"/>
      <c r="N102" s="202"/>
      <c r="O102" s="202"/>
      <c r="P102" s="202"/>
      <c r="Q102" s="202"/>
      <c r="R102" s="202"/>
      <c r="S102" s="202"/>
      <c r="T102" s="202"/>
      <c r="U102" s="202"/>
      <c r="V102" s="202"/>
      <c r="W102" s="202"/>
      <c r="X102" s="202"/>
      <c r="Y102" s="202"/>
      <c r="Z102" s="202"/>
      <c r="AA102" s="202"/>
    </row>
    <row r="103" spans="1:27">
      <c r="A103" s="202"/>
      <c r="B103" s="526">
        <v>21</v>
      </c>
      <c r="C103" s="1769"/>
      <c r="D103" s="1769"/>
      <c r="E103" s="1769"/>
      <c r="F103" s="1769"/>
      <c r="G103" s="1769"/>
      <c r="H103" s="1769"/>
      <c r="I103" s="1782"/>
      <c r="J103" s="1783"/>
      <c r="K103" s="202"/>
      <c r="L103" s="202"/>
      <c r="M103" s="202"/>
      <c r="N103" s="202"/>
      <c r="O103" s="202"/>
      <c r="P103" s="202"/>
      <c r="Q103" s="202"/>
      <c r="R103" s="202"/>
      <c r="S103" s="202"/>
      <c r="T103" s="202"/>
      <c r="U103" s="202"/>
      <c r="V103" s="202"/>
      <c r="W103" s="202"/>
      <c r="X103" s="202"/>
      <c r="Y103" s="202"/>
      <c r="Z103" s="202"/>
      <c r="AA103" s="202"/>
    </row>
    <row r="104" spans="1:27">
      <c r="A104" s="202"/>
      <c r="B104" s="526">
        <v>22</v>
      </c>
      <c r="C104" s="1769"/>
      <c r="D104" s="1769"/>
      <c r="E104" s="1769"/>
      <c r="F104" s="1769"/>
      <c r="G104" s="1769"/>
      <c r="H104" s="1769"/>
      <c r="I104" s="1782"/>
      <c r="J104" s="1783"/>
      <c r="K104" s="202"/>
      <c r="L104" s="202"/>
      <c r="M104" s="202"/>
      <c r="N104" s="202"/>
      <c r="O104" s="202"/>
      <c r="P104" s="202"/>
      <c r="Q104" s="202"/>
      <c r="R104" s="202"/>
      <c r="S104" s="202"/>
      <c r="T104" s="202"/>
      <c r="U104" s="202"/>
      <c r="V104" s="202"/>
      <c r="W104" s="202"/>
      <c r="X104" s="202"/>
      <c r="Y104" s="202"/>
      <c r="Z104" s="202"/>
      <c r="AA104" s="202"/>
    </row>
    <row r="105" spans="1:27">
      <c r="A105" s="202"/>
      <c r="B105" s="526">
        <v>23</v>
      </c>
      <c r="C105" s="1769"/>
      <c r="D105" s="1769"/>
      <c r="E105" s="1769"/>
      <c r="F105" s="1769"/>
      <c r="G105" s="1769"/>
      <c r="H105" s="1769"/>
      <c r="I105" s="1782"/>
      <c r="J105" s="1783"/>
      <c r="K105" s="202"/>
      <c r="L105" s="202"/>
      <c r="M105" s="202"/>
      <c r="N105" s="202"/>
      <c r="O105" s="202"/>
      <c r="P105" s="202"/>
      <c r="Q105" s="202"/>
      <c r="R105" s="202"/>
      <c r="S105" s="202"/>
      <c r="T105" s="202"/>
      <c r="U105" s="202"/>
      <c r="V105" s="202"/>
      <c r="W105" s="202"/>
      <c r="X105" s="202"/>
      <c r="Y105" s="202"/>
      <c r="Z105" s="202"/>
      <c r="AA105" s="202"/>
    </row>
    <row r="106" spans="1:27">
      <c r="A106" s="202"/>
      <c r="B106" s="526">
        <v>24</v>
      </c>
      <c r="C106" s="1769"/>
      <c r="D106" s="1769"/>
      <c r="E106" s="1769"/>
      <c r="F106" s="1769"/>
      <c r="G106" s="1769"/>
      <c r="H106" s="1769"/>
      <c r="I106" s="1782"/>
      <c r="J106" s="1783"/>
      <c r="K106" s="202"/>
      <c r="L106" s="202"/>
      <c r="M106" s="202"/>
      <c r="N106" s="202"/>
      <c r="O106" s="202"/>
      <c r="P106" s="202"/>
      <c r="Q106" s="202"/>
      <c r="R106" s="202"/>
      <c r="S106" s="202"/>
      <c r="T106" s="202"/>
      <c r="U106" s="202"/>
      <c r="V106" s="202"/>
      <c r="W106" s="202"/>
      <c r="X106" s="202"/>
      <c r="Y106" s="202"/>
      <c r="Z106" s="202"/>
      <c r="AA106" s="202"/>
    </row>
    <row r="107" spans="1:27">
      <c r="A107" s="202"/>
      <c r="B107" s="527" t="s">
        <v>597</v>
      </c>
      <c r="C107" s="202"/>
      <c r="D107" s="202"/>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row>
    <row r="108" spans="1:27">
      <c r="A108" s="202"/>
      <c r="B108" s="527" t="s">
        <v>598</v>
      </c>
      <c r="C108" s="202"/>
      <c r="D108" s="202"/>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row>
    <row r="109" spans="1:27">
      <c r="A109" s="202"/>
      <c r="B109" s="527"/>
      <c r="C109" s="202"/>
      <c r="D109" s="202"/>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row>
    <row r="110" spans="1:27" ht="15" hidden="1">
      <c r="A110" s="202"/>
      <c r="B110" s="1775" t="s">
        <v>586</v>
      </c>
      <c r="C110" s="1775"/>
      <c r="D110" s="1775"/>
      <c r="E110" s="1775"/>
      <c r="F110" s="1775"/>
      <c r="G110" s="202"/>
      <c r="H110" s="202"/>
      <c r="I110" s="202"/>
      <c r="J110" s="202"/>
      <c r="K110" s="202"/>
      <c r="L110" s="202"/>
      <c r="M110" s="202"/>
      <c r="N110" s="202"/>
      <c r="O110" s="202"/>
      <c r="P110" s="202"/>
      <c r="Q110" s="202"/>
      <c r="R110" s="202"/>
      <c r="S110" s="202"/>
      <c r="T110" s="202"/>
      <c r="U110" s="202"/>
      <c r="V110" s="202"/>
      <c r="W110" s="202"/>
      <c r="X110" s="202"/>
      <c r="Y110" s="202"/>
      <c r="Z110" s="202"/>
      <c r="AA110" s="202"/>
    </row>
    <row r="111" spans="1:27" ht="29" hidden="1">
      <c r="A111" s="202"/>
      <c r="B111" s="517" t="s">
        <v>21</v>
      </c>
      <c r="C111" s="517" t="s">
        <v>222</v>
      </c>
      <c r="D111" s="526" t="s">
        <v>596</v>
      </c>
      <c r="E111" s="517" t="s">
        <v>599</v>
      </c>
      <c r="F111" s="517" t="s">
        <v>584</v>
      </c>
      <c r="G111" s="202"/>
      <c r="H111" s="202"/>
      <c r="I111" s="202"/>
      <c r="J111" s="202"/>
      <c r="K111" s="202"/>
      <c r="L111" s="202"/>
      <c r="M111" s="202"/>
      <c r="N111" s="202"/>
      <c r="O111" s="202"/>
      <c r="P111" s="202"/>
      <c r="Q111" s="202"/>
      <c r="R111" s="202"/>
      <c r="S111" s="202"/>
      <c r="T111" s="202"/>
      <c r="U111" s="202"/>
      <c r="V111" s="202"/>
      <c r="W111" s="202"/>
      <c r="X111" s="202"/>
      <c r="Y111" s="202"/>
      <c r="Z111" s="202"/>
      <c r="AA111" s="202"/>
    </row>
    <row r="112" spans="1:27" hidden="1">
      <c r="A112" s="202"/>
      <c r="B112" s="528"/>
      <c r="C112" s="235"/>
      <c r="D112" s="235"/>
      <c r="E112" s="235"/>
      <c r="F112" s="235"/>
      <c r="G112" s="202"/>
      <c r="H112" s="202"/>
      <c r="I112" s="202"/>
      <c r="J112" s="202"/>
      <c r="K112" s="202"/>
      <c r="L112" s="202"/>
      <c r="M112" s="202"/>
      <c r="N112" s="202"/>
      <c r="O112" s="202"/>
      <c r="P112" s="202"/>
      <c r="Q112" s="202"/>
      <c r="R112" s="202"/>
      <c r="S112" s="202"/>
      <c r="T112" s="202"/>
      <c r="U112" s="202"/>
      <c r="V112" s="202"/>
      <c r="W112" s="202"/>
      <c r="X112" s="202"/>
      <c r="Y112" s="202"/>
      <c r="Z112" s="202"/>
      <c r="AA112" s="202"/>
    </row>
    <row r="113" spans="1:27" hidden="1">
      <c r="A113" s="202"/>
      <c r="B113" s="528"/>
      <c r="C113" s="235"/>
      <c r="D113" s="235"/>
      <c r="E113" s="235"/>
      <c r="F113" s="235"/>
      <c r="G113" s="202"/>
      <c r="H113" s="202"/>
      <c r="I113" s="202"/>
      <c r="J113" s="202"/>
      <c r="K113" s="202"/>
      <c r="L113" s="202"/>
      <c r="M113" s="202"/>
      <c r="N113" s="202"/>
      <c r="O113" s="202"/>
      <c r="P113" s="202"/>
      <c r="Q113" s="202"/>
      <c r="R113" s="202"/>
      <c r="S113" s="202"/>
      <c r="T113" s="202"/>
      <c r="U113" s="202"/>
      <c r="V113" s="202"/>
      <c r="W113" s="202"/>
      <c r="X113" s="202"/>
      <c r="Y113" s="202"/>
      <c r="Z113" s="202"/>
      <c r="AA113" s="202"/>
    </row>
    <row r="114" spans="1:27" hidden="1">
      <c r="A114" s="202"/>
      <c r="B114" s="528"/>
      <c r="C114" s="235"/>
      <c r="D114" s="235"/>
      <c r="E114" s="235"/>
      <c r="F114" s="235"/>
      <c r="G114" s="202"/>
      <c r="H114" s="202"/>
      <c r="I114" s="202"/>
      <c r="J114" s="202"/>
      <c r="K114" s="202"/>
      <c r="L114" s="202"/>
      <c r="M114" s="202"/>
      <c r="N114" s="202"/>
      <c r="O114" s="202"/>
      <c r="P114" s="202"/>
      <c r="Q114" s="202"/>
      <c r="R114" s="202"/>
      <c r="S114" s="202"/>
      <c r="T114" s="202"/>
      <c r="U114" s="202"/>
      <c r="V114" s="202"/>
      <c r="W114" s="202"/>
      <c r="X114" s="202"/>
      <c r="Y114" s="202"/>
      <c r="Z114" s="202"/>
      <c r="AA114" s="202"/>
    </row>
    <row r="115" spans="1:27" hidden="1">
      <c r="A115" s="202"/>
      <c r="B115" s="528"/>
      <c r="C115" s="235"/>
      <c r="D115" s="235"/>
      <c r="E115" s="235"/>
      <c r="F115" s="235"/>
      <c r="G115" s="202"/>
      <c r="H115" s="202"/>
      <c r="I115" s="202"/>
      <c r="J115" s="202"/>
      <c r="K115" s="202"/>
      <c r="L115" s="202"/>
      <c r="M115" s="202"/>
      <c r="N115" s="202"/>
      <c r="O115" s="202"/>
      <c r="P115" s="202"/>
      <c r="Q115" s="202"/>
      <c r="R115" s="202"/>
      <c r="S115" s="202"/>
      <c r="T115" s="202"/>
      <c r="U115" s="202"/>
      <c r="V115" s="202"/>
      <c r="W115" s="202"/>
      <c r="X115" s="202"/>
      <c r="Y115" s="202"/>
      <c r="Z115" s="202"/>
      <c r="AA115" s="202"/>
    </row>
    <row r="116" spans="1:27" hidden="1">
      <c r="A116" s="202"/>
      <c r="B116" s="528"/>
      <c r="C116" s="235"/>
      <c r="D116" s="235"/>
      <c r="E116" s="235"/>
      <c r="F116" s="235"/>
      <c r="G116" s="202"/>
      <c r="H116" s="202"/>
      <c r="I116" s="202"/>
      <c r="J116" s="202"/>
      <c r="K116" s="202"/>
      <c r="L116" s="202"/>
      <c r="M116" s="202"/>
      <c r="N116" s="202"/>
      <c r="O116" s="202"/>
      <c r="P116" s="202"/>
      <c r="Q116" s="202"/>
      <c r="R116" s="202"/>
      <c r="S116" s="202"/>
      <c r="T116" s="202"/>
      <c r="U116" s="202"/>
      <c r="V116" s="202"/>
      <c r="W116" s="202"/>
      <c r="X116" s="202"/>
      <c r="Y116" s="202"/>
      <c r="Z116" s="202"/>
      <c r="AA116" s="202"/>
    </row>
    <row r="117" spans="1:27" hidden="1">
      <c r="A117" s="202"/>
      <c r="B117" s="528"/>
      <c r="C117" s="235"/>
      <c r="D117" s="235"/>
      <c r="E117" s="235"/>
      <c r="F117" s="235"/>
      <c r="G117" s="202"/>
      <c r="H117" s="202"/>
      <c r="I117" s="202"/>
      <c r="J117" s="202"/>
      <c r="K117" s="202"/>
      <c r="L117" s="202"/>
      <c r="M117" s="202"/>
      <c r="N117" s="202"/>
      <c r="O117" s="202"/>
      <c r="P117" s="202"/>
      <c r="Q117" s="202"/>
      <c r="R117" s="202"/>
      <c r="S117" s="202"/>
      <c r="T117" s="202"/>
      <c r="U117" s="202"/>
      <c r="V117" s="202"/>
      <c r="W117" s="202"/>
      <c r="X117" s="202"/>
      <c r="Y117" s="202"/>
      <c r="Z117" s="202"/>
      <c r="AA117" s="202"/>
    </row>
    <row r="118" spans="1:27" hidden="1">
      <c r="A118" s="202"/>
      <c r="B118" s="528"/>
      <c r="C118" s="235"/>
      <c r="D118" s="235"/>
      <c r="E118" s="235"/>
      <c r="F118" s="235"/>
      <c r="G118" s="202"/>
      <c r="H118" s="202"/>
      <c r="I118" s="202"/>
      <c r="J118" s="202"/>
      <c r="K118" s="202"/>
      <c r="L118" s="202"/>
      <c r="M118" s="202"/>
      <c r="N118" s="202"/>
      <c r="O118" s="202"/>
      <c r="P118" s="202"/>
      <c r="Q118" s="202"/>
      <c r="R118" s="202"/>
      <c r="S118" s="202"/>
      <c r="T118" s="202"/>
      <c r="U118" s="202"/>
      <c r="V118" s="202"/>
      <c r="W118" s="202"/>
      <c r="X118" s="202"/>
      <c r="Y118" s="202"/>
      <c r="Z118" s="202"/>
      <c r="AA118" s="202"/>
    </row>
    <row r="119" spans="1:27" hidden="1">
      <c r="A119" s="202"/>
      <c r="B119" s="527" t="s">
        <v>600</v>
      </c>
      <c r="C119" s="202"/>
      <c r="D119" s="202"/>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row>
    <row r="120" spans="1:27" hidden="1">
      <c r="A120" s="202"/>
      <c r="B120" s="527" t="s">
        <v>598</v>
      </c>
      <c r="C120" s="202"/>
      <c r="D120" s="202"/>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row>
    <row r="121" spans="1:27" hidden="1">
      <c r="A121" s="202"/>
      <c r="B121" s="527"/>
      <c r="C121" s="202"/>
      <c r="D121" s="202"/>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row>
    <row r="122" spans="1:27" ht="15" hidden="1">
      <c r="A122" s="202"/>
      <c r="B122" s="1775" t="s">
        <v>603</v>
      </c>
      <c r="C122" s="1775"/>
      <c r="D122" s="1775"/>
      <c r="E122" s="1775"/>
      <c r="F122" s="1775"/>
      <c r="G122" s="1775"/>
      <c r="H122" s="1775"/>
      <c r="I122" s="1775"/>
      <c r="J122" s="202"/>
      <c r="K122" s="202"/>
      <c r="L122" s="202"/>
      <c r="M122" s="202"/>
      <c r="N122" s="202"/>
      <c r="O122" s="202"/>
      <c r="P122" s="202"/>
      <c r="Q122" s="202"/>
      <c r="R122" s="202"/>
      <c r="S122" s="202"/>
      <c r="T122" s="202"/>
      <c r="U122" s="202"/>
      <c r="V122" s="202"/>
      <c r="W122" s="202"/>
      <c r="X122" s="202"/>
      <c r="Y122" s="202"/>
      <c r="Z122" s="202"/>
      <c r="AA122" s="202"/>
    </row>
    <row r="123" spans="1:27" hidden="1">
      <c r="A123" s="202"/>
      <c r="B123" s="533" t="s">
        <v>612</v>
      </c>
      <c r="C123" s="526" t="s">
        <v>439</v>
      </c>
      <c r="D123" s="1777" t="s">
        <v>589</v>
      </c>
      <c r="E123" s="1778"/>
      <c r="F123" s="1778"/>
      <c r="G123" s="1778"/>
      <c r="H123" s="1778"/>
      <c r="I123" s="1779"/>
      <c r="J123" s="202"/>
      <c r="K123" s="202"/>
      <c r="L123" s="202"/>
      <c r="M123" s="202"/>
      <c r="N123" s="202"/>
      <c r="O123" s="202"/>
      <c r="P123" s="202"/>
      <c r="Q123" s="202"/>
      <c r="R123" s="202"/>
      <c r="S123" s="202"/>
      <c r="T123" s="202"/>
      <c r="U123" s="202"/>
      <c r="V123" s="202"/>
      <c r="W123" s="202"/>
      <c r="X123" s="202"/>
      <c r="Y123" s="202"/>
      <c r="Z123" s="202"/>
      <c r="AA123" s="202"/>
    </row>
    <row r="124" spans="1:27" hidden="1">
      <c r="A124" s="202"/>
      <c r="B124" s="533" t="s">
        <v>587</v>
      </c>
      <c r="C124" s="530"/>
      <c r="D124" s="1750"/>
      <c r="E124" s="1751"/>
      <c r="F124" s="1751"/>
      <c r="G124" s="1751"/>
      <c r="H124" s="1751"/>
      <c r="I124" s="1752"/>
      <c r="J124" s="202"/>
      <c r="K124" s="202"/>
      <c r="L124" s="202"/>
      <c r="M124" s="202"/>
      <c r="N124" s="202"/>
      <c r="O124" s="202"/>
      <c r="P124" s="202"/>
      <c r="Q124" s="202"/>
      <c r="R124" s="202"/>
      <c r="S124" s="202"/>
      <c r="T124" s="202"/>
      <c r="U124" s="202"/>
      <c r="V124" s="202"/>
      <c r="W124" s="202"/>
      <c r="X124" s="202"/>
      <c r="Y124" s="202"/>
      <c r="Z124" s="202"/>
      <c r="AA124" s="202"/>
    </row>
    <row r="125" spans="1:27" hidden="1">
      <c r="A125" s="202"/>
      <c r="B125" s="533" t="s">
        <v>588</v>
      </c>
      <c r="C125" s="235"/>
      <c r="D125" s="1750"/>
      <c r="E125" s="1751"/>
      <c r="F125" s="1751"/>
      <c r="G125" s="1751"/>
      <c r="H125" s="1751"/>
      <c r="I125" s="1752"/>
      <c r="J125" s="202"/>
      <c r="K125" s="202"/>
      <c r="L125" s="202"/>
      <c r="M125" s="202"/>
      <c r="N125" s="202"/>
      <c r="O125" s="202"/>
      <c r="P125" s="202"/>
      <c r="Q125" s="202"/>
      <c r="R125" s="202"/>
      <c r="S125" s="202"/>
      <c r="T125" s="202"/>
      <c r="U125" s="202"/>
      <c r="V125" s="202"/>
      <c r="W125" s="202"/>
      <c r="X125" s="202"/>
      <c r="Y125" s="202"/>
      <c r="Z125" s="202"/>
      <c r="AA125" s="202"/>
    </row>
    <row r="126" spans="1:27" hidden="1">
      <c r="A126" s="202"/>
      <c r="B126" s="532"/>
      <c r="C126" s="235"/>
      <c r="D126" s="1750"/>
      <c r="E126" s="1751"/>
      <c r="F126" s="1751"/>
      <c r="G126" s="1751"/>
      <c r="H126" s="1751"/>
      <c r="I126" s="1752"/>
      <c r="J126" s="202"/>
      <c r="K126" s="202"/>
      <c r="L126" s="202"/>
      <c r="M126" s="202"/>
      <c r="N126" s="202"/>
      <c r="O126" s="202"/>
      <c r="P126" s="202"/>
      <c r="Q126" s="202"/>
      <c r="R126" s="202"/>
      <c r="S126" s="202"/>
      <c r="T126" s="202"/>
      <c r="U126" s="202"/>
      <c r="V126" s="202"/>
      <c r="W126" s="202"/>
      <c r="X126" s="202"/>
      <c r="Y126" s="202"/>
      <c r="Z126" s="202"/>
      <c r="AA126" s="202"/>
    </row>
    <row r="127" spans="1:27" hidden="1">
      <c r="A127" s="202"/>
      <c r="B127" s="529"/>
      <c r="C127" s="202"/>
      <c r="D127" s="202"/>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row>
    <row r="128" spans="1:27">
      <c r="A128" s="202"/>
      <c r="B128" s="529"/>
      <c r="C128" s="202"/>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row>
    <row r="129" spans="1:27" ht="18" customHeight="1">
      <c r="A129" s="202"/>
      <c r="B129" s="534" t="s">
        <v>590</v>
      </c>
      <c r="C129" s="202"/>
      <c r="D129" s="202"/>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row>
    <row r="130" spans="1:27" ht="14.25" customHeight="1">
      <c r="A130" s="202"/>
      <c r="B130" s="1754"/>
      <c r="C130" s="1755"/>
      <c r="D130" s="1755"/>
      <c r="E130" s="1755"/>
      <c r="F130" s="1755"/>
      <c r="G130" s="1755"/>
      <c r="H130" s="1755"/>
      <c r="I130" s="1756"/>
      <c r="J130" s="202"/>
      <c r="K130" s="202"/>
      <c r="L130" s="202"/>
      <c r="M130" s="202"/>
      <c r="N130" s="202"/>
      <c r="O130" s="202"/>
      <c r="P130" s="202"/>
      <c r="Q130" s="202"/>
      <c r="R130" s="202"/>
      <c r="S130" s="202"/>
      <c r="T130" s="202"/>
      <c r="U130" s="202"/>
      <c r="V130" s="202"/>
      <c r="W130" s="202"/>
      <c r="X130" s="202"/>
      <c r="Y130" s="202"/>
      <c r="Z130" s="202"/>
      <c r="AA130" s="202"/>
    </row>
    <row r="131" spans="1:27" ht="14.25" customHeight="1">
      <c r="A131" s="202"/>
      <c r="B131" s="1757"/>
      <c r="C131" s="1758"/>
      <c r="D131" s="1758"/>
      <c r="E131" s="1758"/>
      <c r="F131" s="1758"/>
      <c r="G131" s="1758"/>
      <c r="H131" s="1758"/>
      <c r="I131" s="1759"/>
      <c r="J131" s="202"/>
      <c r="K131" s="202"/>
      <c r="L131" s="202"/>
      <c r="M131" s="202"/>
      <c r="N131" s="202"/>
      <c r="O131" s="202"/>
      <c r="P131" s="202"/>
      <c r="Q131" s="202"/>
      <c r="R131" s="202"/>
      <c r="S131" s="202"/>
      <c r="T131" s="202"/>
      <c r="U131" s="202"/>
      <c r="V131" s="202"/>
      <c r="W131" s="202"/>
      <c r="X131" s="202"/>
      <c r="Y131" s="202"/>
      <c r="Z131" s="202"/>
      <c r="AA131" s="202"/>
    </row>
    <row r="132" spans="1:27" ht="14.25" customHeight="1">
      <c r="A132" s="202"/>
      <c r="B132" s="1757"/>
      <c r="C132" s="1758"/>
      <c r="D132" s="1758"/>
      <c r="E132" s="1758"/>
      <c r="F132" s="1758"/>
      <c r="G132" s="1758"/>
      <c r="H132" s="1758"/>
      <c r="I132" s="1759"/>
      <c r="J132" s="202"/>
      <c r="K132" s="202"/>
      <c r="L132" s="202"/>
      <c r="M132" s="202"/>
      <c r="N132" s="202"/>
      <c r="O132" s="202"/>
      <c r="P132" s="202"/>
      <c r="Q132" s="202"/>
      <c r="R132" s="202"/>
      <c r="S132" s="202"/>
      <c r="T132" s="202"/>
      <c r="U132" s="202"/>
      <c r="V132" s="202"/>
      <c r="W132" s="202"/>
      <c r="X132" s="202"/>
      <c r="Y132" s="202"/>
      <c r="Z132" s="202"/>
      <c r="AA132" s="202"/>
    </row>
    <row r="133" spans="1:27" ht="14.25" customHeight="1">
      <c r="A133" s="202"/>
      <c r="B133" s="1757"/>
      <c r="C133" s="1758"/>
      <c r="D133" s="1758"/>
      <c r="E133" s="1758"/>
      <c r="F133" s="1758"/>
      <c r="G133" s="1758"/>
      <c r="H133" s="1758"/>
      <c r="I133" s="1759"/>
      <c r="J133" s="202"/>
      <c r="K133" s="202"/>
      <c r="L133" s="202"/>
      <c r="M133" s="202"/>
      <c r="N133" s="202"/>
      <c r="O133" s="202"/>
      <c r="P133" s="202"/>
      <c r="Q133" s="202"/>
      <c r="R133" s="202"/>
      <c r="S133" s="202"/>
      <c r="T133" s="202"/>
      <c r="U133" s="202"/>
      <c r="V133" s="202"/>
      <c r="W133" s="202"/>
      <c r="X133" s="202"/>
      <c r="Y133" s="202"/>
      <c r="Z133" s="202"/>
      <c r="AA133" s="202"/>
    </row>
    <row r="134" spans="1:27" ht="14.25" customHeight="1">
      <c r="A134" s="202"/>
      <c r="B134" s="1757"/>
      <c r="C134" s="1758"/>
      <c r="D134" s="1758"/>
      <c r="E134" s="1758"/>
      <c r="F134" s="1758"/>
      <c r="G134" s="1758"/>
      <c r="H134" s="1758"/>
      <c r="I134" s="1759"/>
      <c r="J134" s="202"/>
      <c r="K134" s="202"/>
      <c r="L134" s="202"/>
      <c r="M134" s="202"/>
      <c r="N134" s="202"/>
      <c r="O134" s="202"/>
      <c r="P134" s="202"/>
      <c r="Q134" s="202"/>
      <c r="R134" s="202"/>
      <c r="S134" s="202"/>
      <c r="T134" s="202"/>
      <c r="U134" s="202"/>
      <c r="V134" s="202"/>
      <c r="W134" s="202"/>
      <c r="X134" s="202"/>
      <c r="Y134" s="202"/>
      <c r="Z134" s="202"/>
      <c r="AA134" s="202"/>
    </row>
    <row r="135" spans="1:27" ht="14.25" customHeight="1">
      <c r="A135" s="202"/>
      <c r="B135" s="1757"/>
      <c r="C135" s="1758"/>
      <c r="D135" s="1758"/>
      <c r="E135" s="1758"/>
      <c r="F135" s="1758"/>
      <c r="G135" s="1758"/>
      <c r="H135" s="1758"/>
      <c r="I135" s="1759"/>
      <c r="J135" s="202"/>
      <c r="K135" s="202"/>
      <c r="L135" s="202"/>
      <c r="M135" s="202"/>
      <c r="N135" s="202"/>
      <c r="O135" s="202"/>
      <c r="P135" s="202"/>
      <c r="Q135" s="202"/>
      <c r="R135" s="202"/>
      <c r="S135" s="202"/>
      <c r="T135" s="202"/>
      <c r="U135" s="202"/>
      <c r="V135" s="202"/>
      <c r="W135" s="202"/>
      <c r="X135" s="202"/>
      <c r="Y135" s="202"/>
      <c r="Z135" s="202"/>
      <c r="AA135" s="202"/>
    </row>
    <row r="136" spans="1:27" ht="14.25" customHeight="1">
      <c r="A136" s="202"/>
      <c r="B136" s="1760"/>
      <c r="C136" s="1761"/>
      <c r="D136" s="1761"/>
      <c r="E136" s="1761"/>
      <c r="F136" s="1761"/>
      <c r="G136" s="1761"/>
      <c r="H136" s="1761"/>
      <c r="I136" s="1762"/>
      <c r="J136" s="202"/>
      <c r="K136" s="202"/>
      <c r="L136" s="202"/>
      <c r="M136" s="202"/>
      <c r="N136" s="202"/>
      <c r="O136" s="202"/>
      <c r="P136" s="202"/>
      <c r="Q136" s="202"/>
      <c r="R136" s="202"/>
      <c r="S136" s="202"/>
      <c r="T136" s="202"/>
      <c r="U136" s="202"/>
      <c r="V136" s="202"/>
      <c r="W136" s="202"/>
      <c r="X136" s="202"/>
      <c r="Y136" s="202"/>
      <c r="Z136" s="202"/>
      <c r="AA136" s="202"/>
    </row>
    <row r="137" spans="1:27" ht="15">
      <c r="A137" s="202"/>
      <c r="B137" s="513"/>
      <c r="C137" s="202"/>
      <c r="D137" s="202"/>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row>
    <row r="138" spans="1:27" ht="15">
      <c r="A138" s="202"/>
      <c r="B138" s="513"/>
      <c r="C138" s="202"/>
      <c r="D138" s="202"/>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row>
    <row r="139" spans="1:27" ht="15">
      <c r="A139" s="202"/>
      <c r="B139" s="513"/>
      <c r="C139" s="202"/>
      <c r="D139" s="202"/>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row>
    <row r="140" spans="1:27" ht="15">
      <c r="A140" s="202"/>
      <c r="B140" s="513"/>
      <c r="C140" s="202"/>
      <c r="D140" s="202"/>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row>
    <row r="141" spans="1:27" ht="15">
      <c r="A141" s="202"/>
      <c r="B141" s="513"/>
      <c r="C141" s="202"/>
      <c r="D141" s="202"/>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row>
    <row r="142" spans="1:27" ht="15">
      <c r="A142" s="202"/>
      <c r="B142" s="513"/>
      <c r="C142" s="202"/>
      <c r="D142" s="202"/>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row>
    <row r="143" spans="1:27" ht="15">
      <c r="A143" s="202"/>
      <c r="B143" s="513"/>
      <c r="C143" s="202"/>
      <c r="D143" s="202"/>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row>
    <row r="144" spans="1:27" ht="15">
      <c r="A144" s="202"/>
      <c r="B144" s="513"/>
      <c r="C144" s="202"/>
      <c r="D144" s="202"/>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row>
    <row r="145" spans="1:27" ht="15">
      <c r="A145" s="202"/>
      <c r="B145" s="513"/>
      <c r="C145" s="202"/>
      <c r="D145" s="202"/>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row>
    <row r="146" spans="1:27" ht="15">
      <c r="A146" s="202"/>
      <c r="B146" s="513"/>
      <c r="C146" s="202"/>
      <c r="D146" s="202"/>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row>
    <row r="147" spans="1:27" ht="15">
      <c r="A147" s="202"/>
      <c r="B147" s="513"/>
      <c r="C147" s="202"/>
      <c r="D147" s="202"/>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row>
    <row r="148" spans="1:27">
      <c r="A148" s="202"/>
      <c r="B148" s="531"/>
      <c r="C148" s="202"/>
      <c r="D148" s="202"/>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row>
    <row r="149" spans="1:27">
      <c r="A149" s="202"/>
      <c r="B149" s="531"/>
      <c r="C149" s="202"/>
      <c r="D149" s="202"/>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row>
    <row r="150" spans="1:27">
      <c r="A150" s="202"/>
      <c r="B150" s="531"/>
      <c r="C150" s="202"/>
      <c r="D150" s="202"/>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row>
    <row r="151" spans="1:27">
      <c r="A151" s="202"/>
      <c r="B151" s="531"/>
      <c r="C151" s="202"/>
      <c r="D151" s="202"/>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row>
    <row r="152" spans="1:27">
      <c r="A152" s="202"/>
      <c r="B152" s="531"/>
      <c r="C152" s="202"/>
      <c r="D152" s="202"/>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row>
    <row r="153" spans="1:27">
      <c r="A153" s="202"/>
      <c r="B153" s="531"/>
      <c r="C153" s="202"/>
      <c r="D153" s="202"/>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row>
    <row r="154" spans="1:27">
      <c r="A154" s="202"/>
      <c r="B154" s="531"/>
      <c r="C154" s="202"/>
      <c r="D154" s="202"/>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row>
    <row r="155" spans="1:27">
      <c r="A155" s="202"/>
      <c r="B155" s="531"/>
      <c r="C155" s="202"/>
      <c r="D155" s="202"/>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row>
    <row r="156" spans="1:27">
      <c r="A156" s="202"/>
      <c r="B156" s="531"/>
      <c r="C156" s="202"/>
      <c r="D156" s="202"/>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row>
    <row r="157" spans="1:27">
      <c r="A157" s="202"/>
      <c r="B157" s="531"/>
      <c r="C157" s="202"/>
      <c r="D157" s="202"/>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row>
    <row r="158" spans="1:27">
      <c r="A158" s="202"/>
      <c r="B158" s="531"/>
      <c r="C158" s="202"/>
      <c r="D158" s="202"/>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row>
    <row r="159" spans="1:27">
      <c r="A159" s="202"/>
      <c r="B159" s="531"/>
      <c r="C159" s="202"/>
      <c r="D159" s="202"/>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row>
    <row r="160" spans="1:27">
      <c r="A160" s="202"/>
      <c r="B160" s="531"/>
      <c r="C160" s="202"/>
      <c r="D160" s="202"/>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row>
    <row r="161" spans="1:27">
      <c r="A161" s="202"/>
      <c r="B161" s="531"/>
      <c r="C161" s="202"/>
      <c r="D161" s="202"/>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row>
    <row r="162" spans="1:27">
      <c r="A162" s="202"/>
      <c r="B162" s="531"/>
      <c r="C162" s="202"/>
      <c r="D162" s="202"/>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row>
    <row r="163" spans="1:27">
      <c r="A163" s="202"/>
      <c r="B163" s="531"/>
      <c r="C163" s="202"/>
      <c r="D163" s="202"/>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row>
    <row r="164" spans="1:27">
      <c r="A164" s="202"/>
      <c r="B164" s="531"/>
      <c r="C164" s="202"/>
      <c r="D164" s="202"/>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row>
    <row r="165" spans="1:27">
      <c r="A165" s="202"/>
      <c r="B165" s="531"/>
      <c r="C165" s="202"/>
      <c r="D165" s="202"/>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row>
    <row r="166" spans="1:27">
      <c r="A166" s="202"/>
      <c r="B166" s="531"/>
      <c r="C166" s="202"/>
      <c r="D166" s="202"/>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row>
    <row r="167" spans="1:27">
      <c r="A167" s="202"/>
      <c r="B167" s="531"/>
      <c r="C167" s="202"/>
      <c r="D167" s="202"/>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row>
    <row r="168" spans="1:27">
      <c r="A168" s="202"/>
      <c r="B168" s="531"/>
      <c r="C168" s="202"/>
      <c r="D168" s="202"/>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row>
    <row r="169" spans="1:27">
      <c r="A169" s="202"/>
      <c r="B169" s="531"/>
      <c r="C169" s="202"/>
      <c r="D169" s="202"/>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row>
    <row r="170" spans="1:27">
      <c r="A170" s="202"/>
      <c r="B170" s="531"/>
      <c r="C170" s="202"/>
      <c r="D170" s="202"/>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row>
    <row r="171" spans="1:27">
      <c r="A171" s="202"/>
      <c r="B171" s="531"/>
      <c r="C171" s="202"/>
      <c r="D171" s="202"/>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row>
    <row r="172" spans="1:27">
      <c r="A172" s="202"/>
      <c r="B172" s="531"/>
      <c r="C172" s="202"/>
      <c r="D172" s="202"/>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row>
    <row r="173" spans="1:27">
      <c r="A173" s="202"/>
      <c r="B173" s="531"/>
      <c r="C173" s="202"/>
      <c r="D173" s="202"/>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row>
    <row r="174" spans="1:27">
      <c r="A174" s="202"/>
      <c r="B174" s="531"/>
      <c r="C174" s="202"/>
      <c r="D174" s="202"/>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row>
    <row r="175" spans="1:27">
      <c r="A175" s="202"/>
      <c r="B175" s="531"/>
      <c r="C175" s="202"/>
      <c r="D175" s="202"/>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row>
    <row r="176" spans="1:27">
      <c r="A176" s="202"/>
      <c r="B176" s="531"/>
      <c r="C176" s="202"/>
      <c r="D176" s="202"/>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row>
    <row r="177" spans="1:27">
      <c r="A177" s="202"/>
      <c r="B177" s="531"/>
      <c r="C177" s="202"/>
      <c r="D177" s="202"/>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row>
    <row r="178" spans="1:27">
      <c r="A178" s="202"/>
      <c r="B178" s="531"/>
      <c r="C178" s="202"/>
      <c r="D178" s="202"/>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row>
    <row r="179" spans="1:27">
      <c r="A179" s="202"/>
      <c r="B179" s="531"/>
      <c r="C179" s="202"/>
      <c r="D179" s="202"/>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row>
    <row r="180" spans="1:27">
      <c r="A180" s="202"/>
      <c r="B180" s="531"/>
      <c r="C180" s="202"/>
      <c r="D180" s="202"/>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row>
    <row r="181" spans="1:27">
      <c r="A181" s="202"/>
      <c r="B181" s="531"/>
      <c r="C181" s="202"/>
      <c r="D181" s="202"/>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row>
    <row r="182" spans="1:27">
      <c r="A182" s="202"/>
      <c r="B182" s="531"/>
      <c r="C182" s="202"/>
      <c r="D182" s="202"/>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row>
    <row r="183" spans="1:27">
      <c r="A183" s="202"/>
      <c r="B183" s="531"/>
      <c r="C183" s="202"/>
      <c r="D183" s="202"/>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row>
    <row r="184" spans="1:27">
      <c r="A184" s="202"/>
      <c r="B184" s="531"/>
      <c r="C184" s="202"/>
      <c r="D184" s="202"/>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row>
    <row r="185" spans="1:27">
      <c r="A185" s="202"/>
      <c r="B185" s="531"/>
      <c r="C185" s="202"/>
      <c r="D185" s="202"/>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row>
    <row r="186" spans="1:27">
      <c r="A186" s="202"/>
      <c r="B186" s="531"/>
      <c r="C186" s="202"/>
      <c r="D186" s="202"/>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row>
    <row r="187" spans="1:27">
      <c r="A187" s="202"/>
      <c r="B187" s="531"/>
      <c r="C187" s="202"/>
      <c r="D187" s="202"/>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row>
    <row r="188" spans="1:27">
      <c r="A188" s="202"/>
      <c r="B188" s="531"/>
      <c r="C188" s="202"/>
      <c r="D188" s="202"/>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row>
    <row r="189" spans="1:27">
      <c r="A189" s="202"/>
      <c r="B189" s="531"/>
      <c r="C189" s="202"/>
      <c r="D189" s="202"/>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row>
    <row r="190" spans="1:27">
      <c r="A190" s="202"/>
      <c r="B190" s="531"/>
      <c r="C190" s="202"/>
      <c r="D190" s="202"/>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row>
    <row r="191" spans="1:27">
      <c r="A191" s="202"/>
      <c r="B191" s="531"/>
      <c r="C191" s="202"/>
      <c r="D191" s="202"/>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row>
    <row r="192" spans="1:27">
      <c r="A192" s="202"/>
      <c r="B192" s="531"/>
      <c r="C192" s="202"/>
      <c r="D192" s="202"/>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row>
    <row r="193" spans="1:27">
      <c r="A193" s="202"/>
      <c r="B193" s="531"/>
      <c r="C193" s="202"/>
      <c r="D193" s="202"/>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row>
    <row r="194" spans="1:27">
      <c r="A194" s="202"/>
      <c r="B194" s="531"/>
      <c r="C194" s="202"/>
      <c r="D194" s="202"/>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row>
    <row r="195" spans="1:27">
      <c r="A195" s="202"/>
      <c r="B195" s="531"/>
      <c r="C195" s="202"/>
      <c r="D195" s="202"/>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row>
    <row r="196" spans="1:27">
      <c r="A196" s="202"/>
      <c r="B196" s="531"/>
      <c r="C196" s="202"/>
      <c r="D196" s="202"/>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row>
    <row r="197" spans="1:27">
      <c r="A197" s="202"/>
      <c r="B197" s="531"/>
      <c r="C197" s="202"/>
      <c r="D197" s="202"/>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row>
    <row r="198" spans="1:27">
      <c r="A198" s="202"/>
      <c r="B198" s="531"/>
      <c r="C198" s="202"/>
      <c r="D198" s="202"/>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row>
    <row r="199" spans="1:27">
      <c r="A199" s="202"/>
      <c r="B199" s="531"/>
      <c r="C199" s="202"/>
      <c r="D199" s="202"/>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row>
    <row r="200" spans="1:27">
      <c r="A200" s="202"/>
      <c r="B200" s="531"/>
      <c r="C200" s="202"/>
      <c r="D200" s="202"/>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row>
    <row r="201" spans="1:27">
      <c r="A201" s="202"/>
      <c r="B201" s="531"/>
      <c r="C201" s="202"/>
      <c r="D201" s="202"/>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row>
    <row r="202" spans="1:27">
      <c r="A202" s="202"/>
      <c r="B202" s="531"/>
      <c r="C202" s="202"/>
      <c r="D202" s="202"/>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row>
    <row r="203" spans="1:27">
      <c r="A203" s="202"/>
      <c r="B203" s="531"/>
      <c r="C203" s="202"/>
      <c r="D203" s="202"/>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row>
    <row r="204" spans="1:27">
      <c r="A204" s="202"/>
      <c r="B204" s="531"/>
      <c r="C204" s="202"/>
      <c r="D204" s="202"/>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row>
    <row r="205" spans="1:27">
      <c r="A205" s="202"/>
      <c r="B205" s="531"/>
      <c r="C205" s="202"/>
      <c r="D205" s="202"/>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row>
    <row r="206" spans="1:27">
      <c r="A206" s="202"/>
      <c r="B206" s="531"/>
      <c r="C206" s="202"/>
      <c r="D206" s="202"/>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row>
    <row r="207" spans="1:27">
      <c r="A207" s="202"/>
      <c r="B207" s="531"/>
      <c r="C207" s="202"/>
      <c r="D207" s="202"/>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row>
    <row r="208" spans="1:27">
      <c r="A208" s="202"/>
      <c r="B208" s="531"/>
      <c r="C208" s="202"/>
      <c r="D208" s="202"/>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row>
    <row r="209" spans="1:27">
      <c r="A209" s="202"/>
      <c r="B209" s="531"/>
      <c r="C209" s="202"/>
      <c r="D209" s="202"/>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row>
    <row r="210" spans="1:27">
      <c r="A210" s="202"/>
      <c r="B210" s="531"/>
      <c r="C210" s="202"/>
      <c r="D210" s="202"/>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row>
    <row r="211" spans="1:27">
      <c r="A211" s="202"/>
      <c r="B211" s="531"/>
      <c r="C211" s="202"/>
      <c r="D211" s="202"/>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row>
    <row r="212" spans="1:27">
      <c r="A212" s="202"/>
      <c r="B212" s="531"/>
      <c r="C212" s="202"/>
      <c r="D212" s="202"/>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row>
    <row r="213" spans="1:27">
      <c r="A213" s="202"/>
      <c r="B213" s="531"/>
      <c r="C213" s="202"/>
      <c r="D213" s="202"/>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row>
    <row r="214" spans="1:27">
      <c r="A214" s="202"/>
      <c r="B214" s="531"/>
      <c r="C214" s="202"/>
      <c r="D214" s="202"/>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row>
    <row r="215" spans="1:27">
      <c r="A215" s="202"/>
      <c r="B215" s="531"/>
      <c r="C215" s="202"/>
      <c r="D215" s="202"/>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row>
    <row r="216" spans="1:27">
      <c r="A216" s="202"/>
      <c r="B216" s="531"/>
      <c r="C216" s="202"/>
      <c r="D216" s="202"/>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row>
    <row r="217" spans="1:27">
      <c r="A217" s="202"/>
      <c r="B217" s="531"/>
      <c r="C217" s="202"/>
      <c r="D217" s="202"/>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row>
    <row r="218" spans="1:27">
      <c r="A218" s="202"/>
      <c r="B218" s="531"/>
      <c r="C218" s="202"/>
      <c r="D218" s="202"/>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row>
    <row r="219" spans="1:27">
      <c r="A219" s="202"/>
      <c r="B219" s="531"/>
      <c r="C219" s="202"/>
      <c r="D219" s="202"/>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row>
    <row r="220" spans="1:27">
      <c r="A220" s="202"/>
      <c r="B220" s="531"/>
      <c r="C220" s="202"/>
      <c r="D220" s="202"/>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row>
    <row r="221" spans="1:27">
      <c r="A221" s="202"/>
      <c r="B221" s="531"/>
      <c r="C221" s="202"/>
      <c r="D221" s="202"/>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row>
    <row r="222" spans="1:27">
      <c r="A222" s="202"/>
      <c r="B222" s="531"/>
      <c r="C222" s="202"/>
      <c r="D222" s="202"/>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row>
    <row r="223" spans="1:27">
      <c r="A223" s="202"/>
      <c r="B223" s="531"/>
      <c r="C223" s="202"/>
      <c r="D223" s="202"/>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row>
    <row r="224" spans="1:27">
      <c r="A224" s="202"/>
      <c r="B224" s="531"/>
      <c r="C224" s="202"/>
      <c r="D224" s="202"/>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row>
    <row r="225" spans="1:27">
      <c r="A225" s="202"/>
      <c r="B225" s="531"/>
      <c r="C225" s="202"/>
      <c r="D225" s="202"/>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row>
    <row r="226" spans="1:27">
      <c r="A226" s="202"/>
      <c r="B226" s="531"/>
      <c r="C226" s="202"/>
      <c r="D226" s="202"/>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row>
    <row r="227" spans="1:27">
      <c r="A227" s="202"/>
      <c r="B227" s="531"/>
      <c r="C227" s="202"/>
      <c r="D227" s="202"/>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row>
    <row r="228" spans="1:27">
      <c r="A228" s="202"/>
      <c r="B228" s="531"/>
      <c r="C228" s="202"/>
      <c r="D228" s="202"/>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row>
    <row r="229" spans="1:27">
      <c r="A229" s="202"/>
      <c r="B229" s="531"/>
      <c r="C229" s="202"/>
      <c r="D229" s="202"/>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row>
    <row r="230" spans="1:27">
      <c r="A230" s="202"/>
      <c r="B230" s="531"/>
      <c r="C230" s="202"/>
      <c r="D230" s="202"/>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row>
    <row r="231" spans="1:27">
      <c r="A231" s="202"/>
      <c r="B231" s="531"/>
      <c r="C231" s="202"/>
      <c r="D231" s="202"/>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row>
    <row r="232" spans="1:27">
      <c r="A232" s="202"/>
      <c r="B232" s="531"/>
      <c r="C232" s="202"/>
      <c r="D232" s="202"/>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row>
    <row r="233" spans="1:27">
      <c r="A233" s="202"/>
      <c r="B233" s="531"/>
      <c r="C233" s="202"/>
      <c r="D233" s="202"/>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row>
    <row r="234" spans="1:27">
      <c r="A234" s="202"/>
      <c r="B234" s="531"/>
      <c r="C234" s="202"/>
      <c r="D234" s="202"/>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row>
    <row r="235" spans="1:27">
      <c r="A235" s="202"/>
      <c r="B235" s="531"/>
      <c r="C235" s="202"/>
      <c r="D235" s="202"/>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row>
    <row r="236" spans="1:27">
      <c r="A236" s="202"/>
      <c r="B236" s="531"/>
      <c r="C236" s="202"/>
      <c r="D236" s="202"/>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row>
    <row r="237" spans="1:27">
      <c r="A237" s="202"/>
      <c r="B237" s="531"/>
      <c r="C237" s="202"/>
      <c r="D237" s="202"/>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row>
    <row r="238" spans="1:27">
      <c r="A238" s="202"/>
      <c r="B238" s="531"/>
      <c r="C238" s="202"/>
      <c r="D238" s="202"/>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row>
    <row r="239" spans="1:27">
      <c r="A239" s="202"/>
      <c r="B239" s="531"/>
      <c r="C239" s="202"/>
      <c r="D239" s="202"/>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row>
    <row r="240" spans="1:27">
      <c r="A240" s="202"/>
      <c r="B240" s="531"/>
      <c r="C240" s="202"/>
      <c r="D240" s="202"/>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row>
    <row r="241" spans="1:27">
      <c r="A241" s="202"/>
      <c r="B241" s="531"/>
      <c r="C241" s="202"/>
      <c r="D241" s="202"/>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row>
    <row r="242" spans="1:27">
      <c r="A242" s="202"/>
      <c r="B242" s="531"/>
      <c r="C242" s="202"/>
      <c r="D242" s="202"/>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row>
    <row r="243" spans="1:27">
      <c r="A243" s="202"/>
      <c r="B243" s="531"/>
      <c r="C243" s="202"/>
      <c r="D243" s="202"/>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row>
    <row r="244" spans="1:27">
      <c r="A244" s="202"/>
      <c r="B244" s="531"/>
      <c r="C244" s="202"/>
      <c r="D244" s="202"/>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row>
    <row r="245" spans="1:27">
      <c r="A245" s="202"/>
      <c r="B245" s="531"/>
      <c r="C245" s="202"/>
      <c r="D245" s="202"/>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row>
    <row r="246" spans="1:27">
      <c r="A246" s="202"/>
      <c r="B246" s="531"/>
      <c r="C246" s="202"/>
      <c r="D246" s="202"/>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row>
    <row r="247" spans="1:27">
      <c r="A247" s="202"/>
      <c r="B247" s="531"/>
      <c r="C247" s="202"/>
      <c r="D247" s="202"/>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row>
    <row r="248" spans="1:27">
      <c r="A248" s="202"/>
      <c r="B248" s="531"/>
      <c r="C248" s="202"/>
      <c r="D248" s="202"/>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row>
    <row r="249" spans="1:27">
      <c r="A249" s="202"/>
      <c r="B249" s="531"/>
      <c r="C249" s="202"/>
      <c r="D249" s="202"/>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row>
    <row r="250" spans="1:27">
      <c r="A250" s="202"/>
      <c r="B250" s="531"/>
      <c r="C250" s="202"/>
      <c r="D250" s="202"/>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row>
    <row r="251" spans="1:27">
      <c r="A251" s="202"/>
      <c r="B251" s="531"/>
      <c r="C251" s="202"/>
      <c r="D251" s="202"/>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row>
    <row r="252" spans="1:27">
      <c r="A252" s="202"/>
      <c r="B252" s="531"/>
      <c r="C252" s="202"/>
      <c r="D252" s="202"/>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row>
    <row r="253" spans="1:27">
      <c r="A253" s="202"/>
      <c r="B253" s="531"/>
      <c r="C253" s="202"/>
      <c r="D253" s="202"/>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row>
    <row r="254" spans="1:27">
      <c r="A254" s="202"/>
      <c r="B254" s="531"/>
      <c r="C254" s="202"/>
      <c r="D254" s="202"/>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row>
    <row r="255" spans="1:27">
      <c r="A255" s="202"/>
      <c r="B255" s="531"/>
      <c r="C255" s="202"/>
      <c r="D255" s="202"/>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row>
    <row r="256" spans="1:27">
      <c r="A256" s="202"/>
      <c r="B256" s="531"/>
      <c r="C256" s="202"/>
      <c r="D256" s="202"/>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row>
    <row r="257" spans="1:27">
      <c r="A257" s="202"/>
      <c r="B257" s="531"/>
      <c r="C257" s="202"/>
      <c r="D257" s="202"/>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row>
    <row r="258" spans="1:27">
      <c r="A258" s="202"/>
      <c r="B258" s="531"/>
      <c r="C258" s="202"/>
      <c r="D258" s="202"/>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row>
    <row r="259" spans="1:27">
      <c r="A259" s="202"/>
      <c r="B259" s="531"/>
      <c r="C259" s="202"/>
      <c r="D259" s="202"/>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row>
    <row r="260" spans="1:27">
      <c r="A260" s="202"/>
      <c r="B260" s="531"/>
      <c r="C260" s="202"/>
      <c r="D260" s="202"/>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row>
    <row r="261" spans="1:27">
      <c r="A261" s="202"/>
      <c r="B261" s="531"/>
      <c r="C261" s="202"/>
      <c r="D261" s="202"/>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row>
    <row r="262" spans="1:27">
      <c r="A262" s="202"/>
      <c r="B262" s="531"/>
      <c r="C262" s="202"/>
      <c r="D262" s="202"/>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row>
    <row r="263" spans="1:27">
      <c r="A263" s="202"/>
      <c r="B263" s="531"/>
      <c r="C263" s="202"/>
      <c r="D263" s="202"/>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row>
    <row r="264" spans="1:27">
      <c r="A264" s="202"/>
      <c r="B264" s="531"/>
      <c r="C264" s="202"/>
      <c r="D264" s="202"/>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row>
    <row r="265" spans="1:27">
      <c r="A265" s="202"/>
      <c r="B265" s="531"/>
      <c r="C265" s="202"/>
      <c r="D265" s="202"/>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row>
    <row r="266" spans="1:27">
      <c r="A266" s="202"/>
      <c r="B266" s="531"/>
      <c r="C266" s="202"/>
      <c r="D266" s="202"/>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row>
    <row r="267" spans="1:27">
      <c r="A267" s="202"/>
      <c r="B267" s="531"/>
      <c r="C267" s="202"/>
      <c r="D267" s="202"/>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row>
    <row r="268" spans="1:27">
      <c r="A268" s="202"/>
      <c r="B268" s="531"/>
      <c r="C268" s="202"/>
      <c r="D268" s="202"/>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row>
    <row r="269" spans="1:27">
      <c r="A269" s="202"/>
      <c r="B269" s="531"/>
      <c r="C269" s="202"/>
      <c r="D269" s="202"/>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row>
    <row r="270" spans="1:27">
      <c r="A270" s="202"/>
      <c r="B270" s="531"/>
      <c r="C270" s="202"/>
      <c r="D270" s="202"/>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row>
    <row r="271" spans="1:27">
      <c r="A271" s="202"/>
      <c r="B271" s="531"/>
      <c r="C271" s="202"/>
      <c r="D271" s="202"/>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row>
    <row r="272" spans="1:27">
      <c r="A272" s="202"/>
      <c r="B272" s="531"/>
      <c r="C272" s="202"/>
      <c r="D272" s="202"/>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row>
    <row r="273" spans="1:27">
      <c r="A273" s="202"/>
      <c r="B273" s="531"/>
      <c r="C273" s="202"/>
      <c r="D273" s="202"/>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row>
    <row r="274" spans="1:27">
      <c r="A274" s="202"/>
      <c r="B274" s="531"/>
      <c r="C274" s="202"/>
      <c r="D274" s="202"/>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row>
    <row r="275" spans="1:27">
      <c r="A275" s="202"/>
      <c r="B275" s="531"/>
      <c r="C275" s="202"/>
      <c r="D275" s="202"/>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row>
    <row r="276" spans="1:27">
      <c r="A276" s="202"/>
      <c r="B276" s="531"/>
      <c r="C276" s="202"/>
      <c r="D276" s="202"/>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row>
    <row r="277" spans="1:27">
      <c r="A277" s="202"/>
      <c r="B277" s="531"/>
      <c r="C277" s="202"/>
      <c r="D277" s="202"/>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row>
    <row r="278" spans="1:27">
      <c r="A278" s="202"/>
      <c r="B278" s="531"/>
      <c r="C278" s="202"/>
      <c r="D278" s="202"/>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row>
    <row r="279" spans="1:27">
      <c r="A279" s="202"/>
      <c r="B279" s="531"/>
      <c r="C279" s="202"/>
      <c r="D279" s="202"/>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row>
    <row r="280" spans="1:27">
      <c r="A280" s="202"/>
      <c r="B280" s="531"/>
      <c r="C280" s="202"/>
      <c r="D280" s="202"/>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row>
    <row r="281" spans="1:27">
      <c r="A281" s="202"/>
      <c r="B281" s="531"/>
      <c r="C281" s="202"/>
      <c r="D281" s="202"/>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row>
    <row r="282" spans="1:27">
      <c r="A282" s="202"/>
      <c r="B282" s="531"/>
      <c r="C282" s="202"/>
      <c r="D282" s="202"/>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row>
    <row r="283" spans="1:27">
      <c r="A283" s="202"/>
      <c r="B283" s="531"/>
      <c r="C283" s="202"/>
      <c r="D283" s="202"/>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row>
    <row r="284" spans="1:27">
      <c r="A284" s="202"/>
      <c r="B284" s="531"/>
      <c r="C284" s="202"/>
      <c r="D284" s="202"/>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row>
    <row r="285" spans="1:27">
      <c r="A285" s="202"/>
      <c r="B285" s="531"/>
      <c r="C285" s="202"/>
      <c r="D285" s="202"/>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row>
    <row r="286" spans="1:27">
      <c r="A286" s="202"/>
      <c r="B286" s="531"/>
      <c r="C286" s="202"/>
      <c r="D286" s="202"/>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row>
    <row r="287" spans="1:27">
      <c r="A287" s="202"/>
      <c r="B287" s="531"/>
      <c r="C287" s="202"/>
      <c r="D287" s="202"/>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row>
    <row r="288" spans="1:27">
      <c r="A288" s="202"/>
      <c r="B288" s="531"/>
      <c r="C288" s="202"/>
      <c r="D288" s="202"/>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row>
    <row r="289" spans="1:27">
      <c r="A289" s="202"/>
      <c r="B289" s="531"/>
      <c r="C289" s="202"/>
      <c r="D289" s="202"/>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row>
    <row r="290" spans="1:27">
      <c r="A290" s="202"/>
      <c r="B290" s="531"/>
      <c r="C290" s="202"/>
      <c r="D290" s="202"/>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row>
    <row r="291" spans="1:27">
      <c r="A291" s="202"/>
      <c r="B291" s="531"/>
      <c r="C291" s="202"/>
      <c r="D291" s="202"/>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row>
    <row r="292" spans="1:27">
      <c r="A292" s="202"/>
      <c r="B292" s="531"/>
      <c r="C292" s="202"/>
      <c r="D292" s="202"/>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row>
    <row r="293" spans="1:27">
      <c r="A293" s="202"/>
      <c r="B293" s="531"/>
      <c r="C293" s="202"/>
      <c r="D293" s="202"/>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row>
    <row r="294" spans="1:27">
      <c r="A294" s="202"/>
      <c r="B294" s="531"/>
      <c r="C294" s="202"/>
      <c r="D294" s="202"/>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row>
    <row r="295" spans="1:27">
      <c r="A295" s="202"/>
      <c r="B295" s="531"/>
      <c r="C295" s="202"/>
      <c r="D295" s="202"/>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row>
    <row r="296" spans="1:27">
      <c r="A296" s="202"/>
      <c r="B296" s="531"/>
      <c r="C296" s="202"/>
      <c r="D296" s="202"/>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row>
    <row r="297" spans="1:27">
      <c r="A297" s="202"/>
      <c r="B297" s="531"/>
      <c r="C297" s="202"/>
      <c r="D297" s="202"/>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row>
    <row r="298" spans="1:27">
      <c r="A298" s="202"/>
      <c r="B298" s="531"/>
      <c r="C298" s="202"/>
      <c r="D298" s="202"/>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row>
    <row r="299" spans="1:27">
      <c r="A299" s="202"/>
      <c r="B299" s="531"/>
      <c r="C299" s="202"/>
      <c r="D299" s="202"/>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row>
    <row r="300" spans="1:27">
      <c r="A300" s="202"/>
      <c r="B300" s="531"/>
      <c r="C300" s="202"/>
      <c r="D300" s="202"/>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row>
    <row r="301" spans="1:27">
      <c r="A301" s="202"/>
      <c r="B301" s="531"/>
      <c r="C301" s="202"/>
      <c r="D301" s="202"/>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row>
    <row r="302" spans="1:27">
      <c r="A302" s="202"/>
      <c r="B302" s="531"/>
      <c r="C302" s="202"/>
      <c r="D302" s="202"/>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row>
    <row r="303" spans="1:27">
      <c r="A303" s="202"/>
      <c r="B303" s="531"/>
      <c r="C303" s="202"/>
      <c r="D303" s="202"/>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row>
    <row r="304" spans="1:27">
      <c r="A304" s="202"/>
      <c r="B304" s="531"/>
      <c r="C304" s="202"/>
      <c r="D304" s="202"/>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row>
    <row r="305" spans="1:27">
      <c r="A305" s="202"/>
      <c r="B305" s="531"/>
      <c r="C305" s="202"/>
      <c r="D305" s="202"/>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row>
    <row r="306" spans="1:27">
      <c r="A306" s="202"/>
      <c r="B306" s="531"/>
      <c r="C306" s="202"/>
      <c r="D306" s="202"/>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row>
    <row r="307" spans="1:27">
      <c r="A307" s="202"/>
      <c r="B307" s="531"/>
      <c r="C307" s="202"/>
      <c r="D307" s="202"/>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row>
    <row r="308" spans="1:27">
      <c r="A308" s="202"/>
      <c r="B308" s="531"/>
      <c r="C308" s="202"/>
      <c r="D308" s="202"/>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row>
    <row r="309" spans="1:27">
      <c r="A309" s="202"/>
      <c r="B309" s="531"/>
      <c r="C309" s="202"/>
      <c r="D309" s="202"/>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row>
    <row r="310" spans="1:27">
      <c r="A310" s="202"/>
      <c r="B310" s="531"/>
      <c r="C310" s="202"/>
      <c r="D310" s="202"/>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row>
    <row r="311" spans="1:27">
      <c r="A311" s="202"/>
      <c r="B311" s="531"/>
      <c r="C311" s="202"/>
      <c r="D311" s="202"/>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row>
    <row r="312" spans="1:27">
      <c r="A312" s="202"/>
      <c r="B312" s="531"/>
      <c r="C312" s="202"/>
      <c r="D312" s="202"/>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row>
    <row r="313" spans="1:27">
      <c r="A313" s="202"/>
      <c r="B313" s="531"/>
      <c r="C313" s="202"/>
      <c r="D313" s="202"/>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row>
    <row r="314" spans="1:27">
      <c r="A314" s="202"/>
      <c r="B314" s="531"/>
      <c r="C314" s="202"/>
      <c r="D314" s="202"/>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row>
    <row r="315" spans="1:27">
      <c r="A315" s="202"/>
      <c r="B315" s="531"/>
      <c r="C315" s="202"/>
      <c r="D315" s="202"/>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row>
    <row r="316" spans="1:27">
      <c r="A316" s="202"/>
      <c r="B316" s="531"/>
      <c r="C316" s="202"/>
      <c r="D316" s="202"/>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row>
    <row r="317" spans="1:27">
      <c r="A317" s="202"/>
      <c r="B317" s="531"/>
      <c r="C317" s="202"/>
      <c r="D317" s="202"/>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row>
    <row r="318" spans="1:27">
      <c r="A318" s="202"/>
      <c r="B318" s="531"/>
      <c r="C318" s="202"/>
      <c r="D318" s="202"/>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row>
    <row r="319" spans="1:27">
      <c r="A319" s="202"/>
      <c r="B319" s="531"/>
      <c r="C319" s="202"/>
      <c r="D319" s="202"/>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row>
    <row r="320" spans="1:27">
      <c r="A320" s="202"/>
      <c r="B320" s="531"/>
      <c r="C320" s="202"/>
      <c r="D320" s="202"/>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row>
    <row r="321" spans="1:27">
      <c r="A321" s="202"/>
      <c r="B321" s="531"/>
      <c r="C321" s="202"/>
      <c r="D321" s="202"/>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row>
    <row r="322" spans="1:27">
      <c r="A322" s="202"/>
      <c r="B322" s="531"/>
      <c r="C322" s="202"/>
      <c r="D322" s="202"/>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row>
    <row r="323" spans="1:27">
      <c r="A323" s="202"/>
      <c r="B323" s="531"/>
      <c r="C323" s="202"/>
      <c r="D323" s="202"/>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row>
    <row r="324" spans="1:27">
      <c r="A324" s="202"/>
      <c r="B324" s="531"/>
      <c r="C324" s="202"/>
      <c r="D324" s="202"/>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row>
    <row r="325" spans="1:27">
      <c r="A325" s="202"/>
      <c r="B325" s="531"/>
      <c r="C325" s="202"/>
      <c r="D325" s="202"/>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row>
    <row r="326" spans="1:27">
      <c r="A326" s="202"/>
      <c r="B326" s="531"/>
      <c r="C326" s="202"/>
      <c r="D326" s="202"/>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row>
    <row r="327" spans="1:27">
      <c r="A327" s="202"/>
      <c r="B327" s="531"/>
      <c r="C327" s="202"/>
      <c r="D327" s="202"/>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row>
    <row r="328" spans="1:27">
      <c r="A328" s="202"/>
      <c r="B328" s="531"/>
      <c r="C328" s="202"/>
      <c r="D328" s="202"/>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row>
    <row r="329" spans="1:27">
      <c r="A329" s="202"/>
      <c r="B329" s="531"/>
      <c r="C329" s="202"/>
      <c r="D329" s="202"/>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row>
    <row r="330" spans="1:27">
      <c r="A330" s="202"/>
      <c r="B330" s="531"/>
      <c r="C330" s="202"/>
      <c r="D330" s="202"/>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row>
    <row r="331" spans="1:27">
      <c r="A331" s="202"/>
      <c r="B331" s="531"/>
      <c r="C331" s="202"/>
      <c r="D331" s="202"/>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row>
    <row r="332" spans="1:27">
      <c r="A332" s="202"/>
      <c r="B332" s="531"/>
      <c r="C332" s="202"/>
      <c r="D332" s="202"/>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row>
    <row r="333" spans="1:27">
      <c r="A333" s="202"/>
      <c r="B333" s="531"/>
      <c r="C333" s="202"/>
      <c r="D333" s="202"/>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row>
    <row r="334" spans="1:27">
      <c r="A334" s="202"/>
      <c r="B334" s="531"/>
      <c r="C334" s="202"/>
      <c r="D334" s="202"/>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row>
    <row r="335" spans="1:27">
      <c r="A335" s="202"/>
      <c r="B335" s="531"/>
      <c r="C335" s="202"/>
      <c r="D335" s="202"/>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row>
    <row r="336" spans="1:27">
      <c r="A336" s="202"/>
      <c r="B336" s="531"/>
      <c r="C336" s="202"/>
      <c r="D336" s="202"/>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row>
    <row r="337" spans="1:27">
      <c r="A337" s="202"/>
      <c r="B337" s="531"/>
      <c r="C337" s="202"/>
      <c r="D337" s="202"/>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row>
    <row r="338" spans="1:27">
      <c r="A338" s="202"/>
      <c r="B338" s="531"/>
      <c r="C338" s="202"/>
      <c r="D338" s="202"/>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row>
  </sheetData>
  <mergeCells count="158">
    <mergeCell ref="E92:F92"/>
    <mergeCell ref="E102:F102"/>
    <mergeCell ref="E103:F103"/>
    <mergeCell ref="E104:F104"/>
    <mergeCell ref="E105:F105"/>
    <mergeCell ref="E106:F106"/>
    <mergeCell ref="C101:D101"/>
    <mergeCell ref="C102:D102"/>
    <mergeCell ref="C103:D103"/>
    <mergeCell ref="C104:D104"/>
    <mergeCell ref="C105:D105"/>
    <mergeCell ref="C106:D106"/>
    <mergeCell ref="E93:F93"/>
    <mergeCell ref="E94:F94"/>
    <mergeCell ref="E95:F95"/>
    <mergeCell ref="E96:F96"/>
    <mergeCell ref="E97:F97"/>
    <mergeCell ref="E98:F98"/>
    <mergeCell ref="E99:F99"/>
    <mergeCell ref="E100:F100"/>
    <mergeCell ref="E101:F101"/>
    <mergeCell ref="C92:D92"/>
    <mergeCell ref="C93:D93"/>
    <mergeCell ref="C94:D94"/>
    <mergeCell ref="C95:D95"/>
    <mergeCell ref="C96:D96"/>
    <mergeCell ref="C97:D97"/>
    <mergeCell ref="C98:D98"/>
    <mergeCell ref="C99:D99"/>
    <mergeCell ref="C100:D100"/>
    <mergeCell ref="G83:H83"/>
    <mergeCell ref="C84:D84"/>
    <mergeCell ref="C85:D85"/>
    <mergeCell ref="C86:D86"/>
    <mergeCell ref="C87:D87"/>
    <mergeCell ref="C88:D88"/>
    <mergeCell ref="C89:D89"/>
    <mergeCell ref="C90:D90"/>
    <mergeCell ref="C91:D91"/>
    <mergeCell ref="E84:F84"/>
    <mergeCell ref="E85:F85"/>
    <mergeCell ref="E86:F86"/>
    <mergeCell ref="E87:F87"/>
    <mergeCell ref="E88:F88"/>
    <mergeCell ref="E89:F89"/>
    <mergeCell ref="E90:F90"/>
    <mergeCell ref="E91:F91"/>
    <mergeCell ref="G86:H86"/>
    <mergeCell ref="I103:J103"/>
    <mergeCell ref="I104:J104"/>
    <mergeCell ref="I105:J105"/>
    <mergeCell ref="I106:J106"/>
    <mergeCell ref="I83:J83"/>
    <mergeCell ref="I84:J84"/>
    <mergeCell ref="I85:J85"/>
    <mergeCell ref="I86:J86"/>
    <mergeCell ref="I87:J87"/>
    <mergeCell ref="I94:J94"/>
    <mergeCell ref="I95:J95"/>
    <mergeCell ref="I96:J96"/>
    <mergeCell ref="I97:J97"/>
    <mergeCell ref="I100:J100"/>
    <mergeCell ref="B1:J2"/>
    <mergeCell ref="I88:J88"/>
    <mergeCell ref="I89:J89"/>
    <mergeCell ref="I90:J90"/>
    <mergeCell ref="I91:J91"/>
    <mergeCell ref="I92:J92"/>
    <mergeCell ref="I93:J93"/>
    <mergeCell ref="I98:J98"/>
    <mergeCell ref="I99:J99"/>
    <mergeCell ref="C82:D82"/>
    <mergeCell ref="E82:F82"/>
    <mergeCell ref="C83:D83"/>
    <mergeCell ref="E83:F83"/>
    <mergeCell ref="F52:H52"/>
    <mergeCell ref="F62:I62"/>
    <mergeCell ref="F63:F64"/>
    <mergeCell ref="G63:H63"/>
    <mergeCell ref="G82:H82"/>
    <mergeCell ref="I82:J82"/>
    <mergeCell ref="G20:J20"/>
    <mergeCell ref="I21:J21"/>
    <mergeCell ref="G21:G22"/>
    <mergeCell ref="I38:J38"/>
    <mergeCell ref="H38:H39"/>
    <mergeCell ref="B81:G81"/>
    <mergeCell ref="F45:I45"/>
    <mergeCell ref="G106:H106"/>
    <mergeCell ref="G97:H97"/>
    <mergeCell ref="G98:H98"/>
    <mergeCell ref="G99:H99"/>
    <mergeCell ref="G100:H100"/>
    <mergeCell ref="G101:H101"/>
    <mergeCell ref="G92:H92"/>
    <mergeCell ref="G93:H93"/>
    <mergeCell ref="G94:H94"/>
    <mergeCell ref="G95:H95"/>
    <mergeCell ref="G96:H96"/>
    <mergeCell ref="G102:H102"/>
    <mergeCell ref="G103:H103"/>
    <mergeCell ref="G87:H87"/>
    <mergeCell ref="G88:H88"/>
    <mergeCell ref="G89:H89"/>
    <mergeCell ref="G90:H90"/>
    <mergeCell ref="G91:H91"/>
    <mergeCell ref="G104:H104"/>
    <mergeCell ref="G105:H105"/>
    <mergeCell ref="I101:J101"/>
    <mergeCell ref="I102:J102"/>
    <mergeCell ref="B3:J3"/>
    <mergeCell ref="D126:I126"/>
    <mergeCell ref="B19:J19"/>
    <mergeCell ref="B29:H29"/>
    <mergeCell ref="B37:J37"/>
    <mergeCell ref="B44:I44"/>
    <mergeCell ref="B61:I61"/>
    <mergeCell ref="B71:E71"/>
    <mergeCell ref="B110:F110"/>
    <mergeCell ref="B122:I122"/>
    <mergeCell ref="B15:J15"/>
    <mergeCell ref="D123:I123"/>
    <mergeCell ref="E20:E22"/>
    <mergeCell ref="D20:D22"/>
    <mergeCell ref="C20:C22"/>
    <mergeCell ref="B20:B22"/>
    <mergeCell ref="C38:C39"/>
    <mergeCell ref="G38:G39"/>
    <mergeCell ref="F20:F22"/>
    <mergeCell ref="F38:F39"/>
    <mergeCell ref="D124:I124"/>
    <mergeCell ref="E45:E47"/>
    <mergeCell ref="D45:D47"/>
    <mergeCell ref="C45:C47"/>
    <mergeCell ref="B38:B39"/>
    <mergeCell ref="D38:D39"/>
    <mergeCell ref="E38:E39"/>
    <mergeCell ref="G46:H46"/>
    <mergeCell ref="F46:F47"/>
    <mergeCell ref="F53:G53"/>
    <mergeCell ref="D125:I125"/>
    <mergeCell ref="B58:I59"/>
    <mergeCell ref="B130:I136"/>
    <mergeCell ref="E62:E64"/>
    <mergeCell ref="B45:B47"/>
    <mergeCell ref="E52:E54"/>
    <mergeCell ref="D52:D54"/>
    <mergeCell ref="C52:C54"/>
    <mergeCell ref="B52:B54"/>
    <mergeCell ref="B72:B74"/>
    <mergeCell ref="C72:C74"/>
    <mergeCell ref="D72:D74"/>
    <mergeCell ref="E72:E74"/>
    <mergeCell ref="C62:C64"/>
    <mergeCell ref="B62:B64"/>
    <mergeCell ref="D62:D64"/>
    <mergeCell ref="G84:H84"/>
    <mergeCell ref="G85:H85"/>
  </mergeCells>
  <phoneticPr fontId="26" type="noConversion"/>
  <pageMargins left="0.75" right="0.75" top="0.75" bottom="0.75" header="0.5" footer="0.5"/>
  <pageSetup orientation="landscape" r:id="rId1"/>
  <headerFooter alignWithMargins="0"/>
  <drawing r:id="rId2"/>
  <legacyDrawing r:id="rId3"/>
  <oleObjects>
    <mc:AlternateContent xmlns:mc="http://schemas.openxmlformats.org/markup-compatibility/2006">
      <mc:Choice Requires="x14">
        <oleObject progId="Acrobat.Document.11" dvAspect="DVASPECT_ICON" shapeId="8199" r:id="rId4">
          <objectPr defaultSize="0" autoPict="0" r:id="rId5">
            <anchor moveWithCells="1">
              <from>
                <xdr:col>12</xdr:col>
                <xdr:colOff>520700</xdr:colOff>
                <xdr:row>2</xdr:row>
                <xdr:rowOff>673100</xdr:rowOff>
              </from>
              <to>
                <xdr:col>14</xdr:col>
                <xdr:colOff>647700</xdr:colOff>
                <xdr:row>6</xdr:row>
                <xdr:rowOff>177800</xdr:rowOff>
              </to>
            </anchor>
          </objectPr>
        </oleObject>
      </mc:Choice>
      <mc:Fallback>
        <oleObject progId="Acrobat.Document.11" dvAspect="DVASPECT_ICON" shapeId="8199" r:id="rId4"/>
      </mc:Fallback>
    </mc:AlternateContent>
    <mc:AlternateContent xmlns:mc="http://schemas.openxmlformats.org/markup-compatibility/2006">
      <mc:Choice Requires="x14">
        <oleObject progId="Acrobat.Document.11" dvAspect="DVASPECT_ICON" shapeId="8200" r:id="rId6">
          <objectPr defaultSize="0" autoPict="0" r:id="rId5">
            <anchor moveWithCells="1">
              <from>
                <xdr:col>10</xdr:col>
                <xdr:colOff>152400</xdr:colOff>
                <xdr:row>2</xdr:row>
                <xdr:rowOff>673100</xdr:rowOff>
              </from>
              <to>
                <xdr:col>12</xdr:col>
                <xdr:colOff>342900</xdr:colOff>
                <xdr:row>6</xdr:row>
                <xdr:rowOff>177800</xdr:rowOff>
              </to>
            </anchor>
          </objectPr>
        </oleObject>
      </mc:Choice>
      <mc:Fallback>
        <oleObject progId="Acrobat.Document.11" dvAspect="DVASPECT_ICON" shapeId="8200" r:id="rId6"/>
      </mc:Fallback>
    </mc:AlternateContent>
  </oleObjects>
  <mc:AlternateContent xmlns:mc="http://schemas.openxmlformats.org/markup-compatibility/2006">
    <mc:Choice Requires="x14">
      <controls>
        <mc:AlternateContent xmlns:mc="http://schemas.openxmlformats.org/markup-compatibility/2006">
          <mc:Choice Requires="x14">
            <control shapeId="8193" r:id="rId7" name="Check Box 1">
              <controlPr defaultSize="0" autoFill="0" autoLine="0" autoPict="0" macro="[0]!CheckBox1_Click">
                <anchor moveWithCells="1">
                  <from>
                    <xdr:col>2</xdr:col>
                    <xdr:colOff>381000</xdr:colOff>
                    <xdr:row>4</xdr:row>
                    <xdr:rowOff>25400</xdr:rowOff>
                  </from>
                  <to>
                    <xdr:col>2</xdr:col>
                    <xdr:colOff>660400</xdr:colOff>
                    <xdr:row>5</xdr:row>
                    <xdr:rowOff>0</xdr:rowOff>
                  </to>
                </anchor>
              </controlPr>
            </control>
          </mc:Choice>
        </mc:AlternateContent>
        <mc:AlternateContent xmlns:mc="http://schemas.openxmlformats.org/markup-compatibility/2006">
          <mc:Choice Requires="x14">
            <control shapeId="8194" r:id="rId8" name="Check Box 2">
              <controlPr defaultSize="0" autoFill="0" autoLine="0" autoPict="0" macro="[0]!CheckBox2_Click">
                <anchor moveWithCells="1">
                  <from>
                    <xdr:col>2</xdr:col>
                    <xdr:colOff>381000</xdr:colOff>
                    <xdr:row>5</xdr:row>
                    <xdr:rowOff>25400</xdr:rowOff>
                  </from>
                  <to>
                    <xdr:col>2</xdr:col>
                    <xdr:colOff>673100</xdr:colOff>
                    <xdr:row>6</xdr:row>
                    <xdr:rowOff>12700</xdr:rowOff>
                  </to>
                </anchor>
              </controlPr>
            </control>
          </mc:Choice>
        </mc:AlternateContent>
        <mc:AlternateContent xmlns:mc="http://schemas.openxmlformats.org/markup-compatibility/2006">
          <mc:Choice Requires="x14">
            <control shapeId="8195" r:id="rId9" name="Check Box 3">
              <controlPr defaultSize="0" autoFill="0" autoLine="0" autoPict="0" macro="[0]!CheckBox3_Click">
                <anchor moveWithCells="1">
                  <from>
                    <xdr:col>2</xdr:col>
                    <xdr:colOff>368300</xdr:colOff>
                    <xdr:row>6</xdr:row>
                    <xdr:rowOff>38100</xdr:rowOff>
                  </from>
                  <to>
                    <xdr:col>2</xdr:col>
                    <xdr:colOff>711200</xdr:colOff>
                    <xdr:row>7</xdr:row>
                    <xdr:rowOff>25400</xdr:rowOff>
                  </to>
                </anchor>
              </controlPr>
            </control>
          </mc:Choice>
        </mc:AlternateContent>
        <mc:AlternateContent xmlns:mc="http://schemas.openxmlformats.org/markup-compatibility/2006">
          <mc:Choice Requires="x14">
            <control shapeId="8196" r:id="rId10" name="Check Box 4">
              <controlPr defaultSize="0" autoFill="0" autoLine="0" autoPict="0" macro="[0]!CheckBox4_Click">
                <anchor moveWithCells="1">
                  <from>
                    <xdr:col>2</xdr:col>
                    <xdr:colOff>368300</xdr:colOff>
                    <xdr:row>7</xdr:row>
                    <xdr:rowOff>38100</xdr:rowOff>
                  </from>
                  <to>
                    <xdr:col>2</xdr:col>
                    <xdr:colOff>660400</xdr:colOff>
                    <xdr:row>8</xdr:row>
                    <xdr:rowOff>25400</xdr:rowOff>
                  </to>
                </anchor>
              </controlPr>
            </control>
          </mc:Choice>
        </mc:AlternateContent>
        <mc:AlternateContent xmlns:mc="http://schemas.openxmlformats.org/markup-compatibility/2006">
          <mc:Choice Requires="x14">
            <control shapeId="8197" r:id="rId11" name="Check Box 5">
              <controlPr defaultSize="0" autoFill="0" autoLine="0" autoPict="0" macro="[0]!CheckBox5_Click">
                <anchor moveWithCells="1">
                  <from>
                    <xdr:col>2</xdr:col>
                    <xdr:colOff>368300</xdr:colOff>
                    <xdr:row>8</xdr:row>
                    <xdr:rowOff>38100</xdr:rowOff>
                  </from>
                  <to>
                    <xdr:col>2</xdr:col>
                    <xdr:colOff>698500</xdr:colOff>
                    <xdr:row>9</xdr:row>
                    <xdr:rowOff>25400</xdr:rowOff>
                  </to>
                </anchor>
              </controlPr>
            </control>
          </mc:Choice>
        </mc:AlternateContent>
        <mc:AlternateContent xmlns:mc="http://schemas.openxmlformats.org/markup-compatibility/2006">
          <mc:Choice Requires="x14">
            <control shapeId="8198" r:id="rId12" name="Check Box 6">
              <controlPr defaultSize="0" autoFill="0" autoLine="0" autoPict="0" macro="[0]!CheckBox6_Click">
                <anchor moveWithCells="1">
                  <from>
                    <xdr:col>2</xdr:col>
                    <xdr:colOff>368300</xdr:colOff>
                    <xdr:row>9</xdr:row>
                    <xdr:rowOff>25400</xdr:rowOff>
                  </from>
                  <to>
                    <xdr:col>2</xdr:col>
                    <xdr:colOff>673100</xdr:colOff>
                    <xdr:row>10</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DABF3-1DD1-4262-A120-99FA074FA1FE}">
  <sheetPr codeName="Sheet17">
    <tabColor rgb="FFFFC000"/>
  </sheetPr>
  <dimension ref="A1:J42"/>
  <sheetViews>
    <sheetView showGridLines="0" showRowColHeaders="0" showRuler="0" view="pageLayout" zoomScaleNormal="100" workbookViewId="0">
      <selection activeCell="B53" sqref="B53:K53"/>
    </sheetView>
  </sheetViews>
  <sheetFormatPr baseColWidth="10" defaultColWidth="9" defaultRowHeight="15"/>
  <cols>
    <col min="1" max="1" width="6.83203125" style="1387" customWidth="1"/>
    <col min="2" max="2" width="4.1640625" style="1386" customWidth="1"/>
    <col min="3" max="5" width="9" style="1192"/>
    <col min="6" max="6" width="8.33203125" style="1192" customWidth="1"/>
    <col min="7" max="7" width="9" style="1192"/>
    <col min="8" max="8" width="11.33203125" style="1192" customWidth="1"/>
    <col min="9" max="9" width="9" style="1192"/>
    <col min="10" max="10" width="9.1640625" style="1192" customWidth="1"/>
    <col min="11" max="16384" width="9" style="1192"/>
  </cols>
  <sheetData>
    <row r="1" spans="1:10">
      <c r="A1" s="1387" t="s">
        <v>2688</v>
      </c>
      <c r="B1" s="1386" t="s">
        <v>2687</v>
      </c>
    </row>
    <row r="2" spans="1:10">
      <c r="C2" s="1804" t="s">
        <v>3144</v>
      </c>
      <c r="D2" s="1805"/>
      <c r="E2" s="1805"/>
      <c r="F2" s="1805"/>
      <c r="G2" s="1805"/>
      <c r="H2" s="1805"/>
      <c r="I2" s="1805"/>
      <c r="J2" s="1805"/>
    </row>
    <row r="3" spans="1:10">
      <c r="C3" s="1390" t="s">
        <v>3145</v>
      </c>
    </row>
    <row r="4" spans="1:10">
      <c r="C4" s="1192" t="s">
        <v>3146</v>
      </c>
    </row>
    <row r="5" spans="1:10" ht="7.5" customHeight="1"/>
    <row r="6" spans="1:10">
      <c r="A6" s="1387" t="s">
        <v>2686</v>
      </c>
      <c r="B6" s="1386" t="s">
        <v>2685</v>
      </c>
    </row>
    <row r="7" spans="1:10">
      <c r="C7" s="1192" t="s">
        <v>3147</v>
      </c>
    </row>
    <row r="8" spans="1:10">
      <c r="C8" s="1192" t="s">
        <v>3148</v>
      </c>
    </row>
    <row r="9" spans="1:10">
      <c r="C9" s="1192" t="s">
        <v>3149</v>
      </c>
    </row>
    <row r="10" spans="1:10" ht="7.25" customHeight="1"/>
    <row r="11" spans="1:10">
      <c r="A11" s="1387" t="s">
        <v>2684</v>
      </c>
      <c r="B11" s="1386" t="s">
        <v>2683</v>
      </c>
    </row>
    <row r="12" spans="1:10">
      <c r="C12" s="1192" t="s">
        <v>3150</v>
      </c>
    </row>
    <row r="13" spans="1:10">
      <c r="C13" s="1192" t="s">
        <v>3193</v>
      </c>
    </row>
    <row r="14" spans="1:10">
      <c r="C14" s="1389" t="s">
        <v>2682</v>
      </c>
    </row>
    <row r="15" spans="1:10" ht="30.75" customHeight="1">
      <c r="C15" s="1801" t="s">
        <v>3151</v>
      </c>
      <c r="D15" s="1801"/>
      <c r="E15" s="1801"/>
      <c r="F15" s="1801"/>
      <c r="G15" s="1801"/>
      <c r="H15" s="1803" t="s">
        <v>2681</v>
      </c>
      <c r="I15" s="1803"/>
      <c r="J15" s="1803"/>
    </row>
    <row r="16" spans="1:10" ht="7.25" customHeight="1"/>
    <row r="17" spans="1:10" ht="17.25" customHeight="1">
      <c r="A17" s="1387" t="s">
        <v>2680</v>
      </c>
      <c r="B17" s="1801" t="s">
        <v>2679</v>
      </c>
      <c r="C17" s="1801"/>
      <c r="D17" s="1801"/>
      <c r="E17" s="1801"/>
      <c r="F17" s="1801"/>
      <c r="G17" s="1801"/>
      <c r="H17" s="1801"/>
      <c r="I17" s="1801"/>
      <c r="J17" s="1801"/>
    </row>
    <row r="18" spans="1:10" ht="30.75" customHeight="1">
      <c r="C18" s="1801" t="s">
        <v>2678</v>
      </c>
      <c r="D18" s="1801"/>
      <c r="E18" s="1801"/>
      <c r="F18" s="1801"/>
      <c r="G18" s="1801"/>
      <c r="H18" s="1801"/>
      <c r="I18" s="1801"/>
      <c r="J18" s="1801"/>
    </row>
    <row r="19" spans="1:10" ht="31.5" customHeight="1">
      <c r="C19" s="1801" t="s">
        <v>2677</v>
      </c>
      <c r="D19" s="1801"/>
      <c r="E19" s="1801"/>
      <c r="F19" s="1801"/>
      <c r="G19" s="1801"/>
      <c r="H19" s="1801"/>
      <c r="I19" s="1801"/>
      <c r="J19" s="1801"/>
    </row>
    <row r="20" spans="1:10" ht="7.25" customHeight="1"/>
    <row r="21" spans="1:10">
      <c r="A21" s="1387" t="s">
        <v>2676</v>
      </c>
      <c r="B21" s="1386" t="s">
        <v>2675</v>
      </c>
    </row>
    <row r="22" spans="1:10" ht="32.25" customHeight="1">
      <c r="C22" s="1801" t="s">
        <v>3152</v>
      </c>
      <c r="D22" s="1801"/>
      <c r="E22" s="1801"/>
      <c r="F22" s="1801"/>
      <c r="G22" s="1801"/>
      <c r="H22" s="1801"/>
      <c r="I22" s="1802" t="s">
        <v>2674</v>
      </c>
      <c r="J22" s="1802"/>
    </row>
    <row r="23" spans="1:10" ht="33" customHeight="1">
      <c r="C23" s="1801" t="s">
        <v>3153</v>
      </c>
      <c r="D23" s="1801"/>
      <c r="E23" s="1801"/>
      <c r="F23" s="1801"/>
      <c r="G23" s="1801"/>
      <c r="H23" s="1801"/>
      <c r="I23" s="1801"/>
      <c r="J23" s="1801"/>
    </row>
    <row r="24" spans="1:10" ht="31.5" customHeight="1">
      <c r="C24" s="1801" t="s">
        <v>2673</v>
      </c>
      <c r="D24" s="1801"/>
      <c r="E24" s="1801"/>
      <c r="F24" s="1801"/>
      <c r="G24" s="1801"/>
      <c r="H24" s="1801"/>
      <c r="I24" s="1801"/>
      <c r="J24" s="1801"/>
    </row>
    <row r="25" spans="1:10">
      <c r="C25" s="1192" t="s">
        <v>3154</v>
      </c>
    </row>
    <row r="26" spans="1:10">
      <c r="C26" s="1192" t="s">
        <v>2672</v>
      </c>
    </row>
    <row r="27" spans="1:10" ht="31.5" customHeight="1">
      <c r="C27" s="1801" t="s">
        <v>3155</v>
      </c>
      <c r="D27" s="1801"/>
      <c r="E27" s="1801"/>
      <c r="F27" s="1801"/>
      <c r="G27" s="1801"/>
      <c r="H27" s="1801"/>
      <c r="I27" s="1801"/>
      <c r="J27" s="1801"/>
    </row>
    <row r="28" spans="1:10">
      <c r="A28" s="1386"/>
      <c r="C28" s="1192" t="s">
        <v>3156</v>
      </c>
      <c r="G28" s="1388" t="s">
        <v>2671</v>
      </c>
    </row>
    <row r="29" spans="1:10" ht="7.25" customHeight="1">
      <c r="A29" s="1386"/>
    </row>
    <row r="30" spans="1:10">
      <c r="A30" s="1387" t="s">
        <v>2670</v>
      </c>
      <c r="B30" s="1386" t="s">
        <v>2669</v>
      </c>
    </row>
    <row r="31" spans="1:10" ht="50.25" customHeight="1">
      <c r="C31" s="1801" t="s">
        <v>3157</v>
      </c>
      <c r="D31" s="1801"/>
      <c r="E31" s="1801"/>
      <c r="F31" s="1801"/>
      <c r="G31" s="1801"/>
      <c r="H31" s="1801"/>
      <c r="I31" s="1801"/>
      <c r="J31" s="1801"/>
    </row>
    <row r="32" spans="1:10" ht="7.25" customHeight="1"/>
    <row r="33" spans="1:10">
      <c r="A33" s="1387" t="s">
        <v>2668</v>
      </c>
      <c r="B33" s="1386" t="s">
        <v>2667</v>
      </c>
    </row>
    <row r="34" spans="1:10" ht="27.75" customHeight="1">
      <c r="C34" s="1801" t="s">
        <v>2666</v>
      </c>
      <c r="D34" s="1801"/>
      <c r="E34" s="1801"/>
      <c r="F34" s="1801"/>
      <c r="G34" s="1801"/>
      <c r="H34" s="1801"/>
      <c r="I34" s="1801"/>
      <c r="J34" s="1801"/>
    </row>
    <row r="35" spans="1:10">
      <c r="C35" s="1192" t="s">
        <v>3158</v>
      </c>
      <c r="F35" s="1388" t="s">
        <v>2671</v>
      </c>
    </row>
    <row r="36" spans="1:10" ht="30.75" customHeight="1">
      <c r="C36" s="1801" t="s">
        <v>2665</v>
      </c>
      <c r="D36" s="1801"/>
      <c r="E36" s="1801"/>
      <c r="F36" s="1801"/>
      <c r="G36" s="1801"/>
      <c r="H36" s="1801"/>
      <c r="I36" s="1801"/>
      <c r="J36" s="1801"/>
    </row>
    <row r="37" spans="1:10" ht="7.25" customHeight="1"/>
    <row r="38" spans="1:10">
      <c r="A38" s="1387" t="s">
        <v>495</v>
      </c>
      <c r="B38" s="1386" t="s">
        <v>2664</v>
      </c>
    </row>
    <row r="39" spans="1:10" ht="33.75" customHeight="1">
      <c r="C39" s="1801" t="s">
        <v>2663</v>
      </c>
      <c r="D39" s="1801"/>
      <c r="E39" s="1801"/>
      <c r="F39" s="1801"/>
      <c r="G39" s="1801"/>
      <c r="H39" s="1801"/>
      <c r="I39" s="1801"/>
      <c r="J39" s="1801"/>
    </row>
    <row r="41" spans="1:10">
      <c r="A41" s="1679" t="s">
        <v>3159</v>
      </c>
    </row>
    <row r="42" spans="1:10">
      <c r="A42" s="1679" t="s">
        <v>3171</v>
      </c>
    </row>
  </sheetData>
  <sheetProtection sheet="1"/>
  <mergeCells count="15">
    <mergeCell ref="I22:J22"/>
    <mergeCell ref="H15:J15"/>
    <mergeCell ref="C2:J2"/>
    <mergeCell ref="B17:J17"/>
    <mergeCell ref="C18:J18"/>
    <mergeCell ref="C19:J19"/>
    <mergeCell ref="C22:H22"/>
    <mergeCell ref="C15:G15"/>
    <mergeCell ref="C39:J39"/>
    <mergeCell ref="C23:J23"/>
    <mergeCell ref="C24:J24"/>
    <mergeCell ref="C27:J27"/>
    <mergeCell ref="C31:J31"/>
    <mergeCell ref="C34:J34"/>
    <mergeCell ref="C36:J36"/>
  </mergeCells>
  <hyperlinks>
    <hyperlink ref="C14" r:id="rId1" xr:uid="{83E001D7-90B8-4317-927C-2531498FD583}"/>
  </hyperlinks>
  <pageMargins left="0.7" right="0.7" top="0.75" bottom="0.75" header="0.3" footer="0.3"/>
  <pageSetup scale="95" orientation="portrait" r:id="rId2"/>
  <headerFooter>
    <oddHeader>&amp;C&amp;"-,Bold"&amp;14Conservation Planning on Grazing Land Guide for PIA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E41EA-51FE-48C4-8421-EBB7938AF7B0}">
  <sheetPr codeName="Sheet19">
    <tabColor rgb="FF92D050"/>
  </sheetPr>
  <dimension ref="A1:AR228"/>
  <sheetViews>
    <sheetView topLeftCell="A24" zoomScale="197" zoomScaleNormal="197" workbookViewId="0">
      <selection activeCell="C10" sqref="C10:O10"/>
    </sheetView>
  </sheetViews>
  <sheetFormatPr baseColWidth="10" defaultColWidth="8" defaultRowHeight="15"/>
  <cols>
    <col min="1" max="1" width="8" style="967"/>
    <col min="2" max="2" width="8" style="969"/>
    <col min="3" max="16384" width="8" style="967"/>
  </cols>
  <sheetData>
    <row r="1" spans="2:16" ht="16" thickBot="1"/>
    <row r="2" spans="2:16" ht="14.25" customHeight="1">
      <c r="B2" s="984"/>
      <c r="C2" s="983"/>
      <c r="D2" s="983"/>
      <c r="E2" s="983"/>
      <c r="F2" s="983"/>
      <c r="G2" s="983"/>
      <c r="H2" s="983"/>
      <c r="I2" s="983"/>
      <c r="J2" s="983"/>
      <c r="K2" s="983"/>
      <c r="L2" s="983"/>
      <c r="M2" s="983"/>
      <c r="N2" s="983"/>
      <c r="O2" s="983"/>
      <c r="P2" s="982"/>
    </row>
    <row r="3" spans="2:16" ht="18.75" customHeight="1">
      <c r="B3" s="979"/>
      <c r="C3" s="980" t="s">
        <v>1249</v>
      </c>
      <c r="D3" s="980"/>
      <c r="E3" s="980"/>
      <c r="F3" s="980"/>
      <c r="G3" s="980"/>
      <c r="H3" s="980"/>
      <c r="I3" s="980"/>
      <c r="J3" s="980"/>
      <c r="K3" s="980"/>
      <c r="L3" s="980"/>
      <c r="M3" s="980"/>
      <c r="N3" s="980"/>
      <c r="O3" s="980"/>
      <c r="P3" s="978"/>
    </row>
    <row r="4" spans="2:16" ht="27" customHeight="1">
      <c r="B4" s="979"/>
      <c r="C4" s="981" t="s">
        <v>1272</v>
      </c>
      <c r="D4" s="980"/>
      <c r="E4" s="980"/>
      <c r="F4" s="980"/>
      <c r="G4" s="980"/>
      <c r="H4" s="980"/>
      <c r="I4" s="980"/>
      <c r="J4" s="980"/>
      <c r="K4" s="980"/>
      <c r="L4" s="980"/>
      <c r="M4" s="980"/>
      <c r="N4" s="980"/>
      <c r="O4" s="980"/>
      <c r="P4" s="978"/>
    </row>
    <row r="5" spans="2:16" ht="37.5" customHeight="1">
      <c r="B5" s="979"/>
      <c r="C5" s="1806" t="s">
        <v>1271</v>
      </c>
      <c r="D5" s="1818"/>
      <c r="E5" s="1818"/>
      <c r="F5" s="1818"/>
      <c r="G5" s="1818"/>
      <c r="H5" s="1818"/>
      <c r="I5" s="1818"/>
      <c r="J5" s="1818"/>
      <c r="K5" s="1818"/>
      <c r="L5" s="1818"/>
      <c r="M5" s="1818"/>
      <c r="N5" s="1818"/>
      <c r="O5" s="1819"/>
      <c r="P5" s="978"/>
    </row>
    <row r="6" spans="2:16" ht="27.75" customHeight="1">
      <c r="B6" s="979"/>
      <c r="C6" s="1820" t="s">
        <v>1270</v>
      </c>
      <c r="D6" s="1821"/>
      <c r="E6" s="1821"/>
      <c r="F6" s="1821"/>
      <c r="G6" s="1821"/>
      <c r="H6" s="1821"/>
      <c r="I6" s="1821"/>
      <c r="J6" s="1821"/>
      <c r="K6" s="1821"/>
      <c r="L6" s="1821"/>
      <c r="M6" s="1821"/>
      <c r="N6" s="1821"/>
      <c r="O6" s="1821"/>
      <c r="P6" s="978"/>
    </row>
    <row r="7" spans="2:16" s="968" customFormat="1" ht="17.25" customHeight="1">
      <c r="B7" s="977">
        <v>1</v>
      </c>
      <c r="C7" s="1812" t="s">
        <v>1269</v>
      </c>
      <c r="D7" s="1813"/>
      <c r="E7" s="1813"/>
      <c r="F7" s="1813"/>
      <c r="G7" s="1813"/>
      <c r="H7" s="1813"/>
      <c r="I7" s="1813"/>
      <c r="J7" s="1813"/>
      <c r="K7" s="1813"/>
      <c r="L7" s="1813"/>
      <c r="M7" s="1813"/>
      <c r="N7" s="1813"/>
      <c r="O7" s="1814"/>
      <c r="P7" s="975"/>
    </row>
    <row r="8" spans="2:16" s="968" customFormat="1" ht="17.25" customHeight="1">
      <c r="B8" s="977"/>
      <c r="C8" s="1815" t="s">
        <v>1268</v>
      </c>
      <c r="D8" s="1816"/>
      <c r="E8" s="1816"/>
      <c r="F8" s="1816"/>
      <c r="G8" s="1816"/>
      <c r="H8" s="1816"/>
      <c r="I8" s="1816"/>
      <c r="J8" s="1816"/>
      <c r="K8" s="1816"/>
      <c r="L8" s="1816"/>
      <c r="M8" s="1816"/>
      <c r="N8" s="1816"/>
      <c r="O8" s="1817"/>
      <c r="P8" s="975"/>
    </row>
    <row r="9" spans="2:16" s="968" customFormat="1" ht="17.25" customHeight="1">
      <c r="B9" s="977">
        <v>2</v>
      </c>
      <c r="C9" s="1809" t="s">
        <v>1267</v>
      </c>
      <c r="D9" s="1810"/>
      <c r="E9" s="1810"/>
      <c r="F9" s="1810"/>
      <c r="G9" s="1810"/>
      <c r="H9" s="1810"/>
      <c r="I9" s="1810"/>
      <c r="J9" s="1810"/>
      <c r="K9" s="1810"/>
      <c r="L9" s="1810"/>
      <c r="M9" s="1810"/>
      <c r="N9" s="1810"/>
      <c r="O9" s="1811"/>
      <c r="P9" s="975"/>
    </row>
    <row r="10" spans="2:16" s="968" customFormat="1" ht="17.25" customHeight="1">
      <c r="B10" s="977">
        <v>3</v>
      </c>
      <c r="C10" s="1809" t="s">
        <v>1266</v>
      </c>
      <c r="D10" s="1810"/>
      <c r="E10" s="1810"/>
      <c r="F10" s="1810"/>
      <c r="G10" s="1810"/>
      <c r="H10" s="1810"/>
      <c r="I10" s="1810"/>
      <c r="J10" s="1810"/>
      <c r="K10" s="1810"/>
      <c r="L10" s="1810"/>
      <c r="M10" s="1810"/>
      <c r="N10" s="1810"/>
      <c r="O10" s="1811"/>
      <c r="P10" s="975"/>
    </row>
    <row r="11" spans="2:16" s="968" customFormat="1" ht="17.25" customHeight="1">
      <c r="B11" s="977">
        <v>4</v>
      </c>
      <c r="C11" s="1809" t="s">
        <v>1265</v>
      </c>
      <c r="D11" s="1810"/>
      <c r="E11" s="1810"/>
      <c r="F11" s="1810"/>
      <c r="G11" s="1810"/>
      <c r="H11" s="1810"/>
      <c r="I11" s="1810"/>
      <c r="J11" s="1810"/>
      <c r="K11" s="1810"/>
      <c r="L11" s="1810"/>
      <c r="M11" s="1810"/>
      <c r="N11" s="1810"/>
      <c r="O11" s="1811"/>
      <c r="P11" s="975"/>
    </row>
    <row r="12" spans="2:16" s="968" customFormat="1" ht="17.25" customHeight="1">
      <c r="B12" s="977">
        <v>5</v>
      </c>
      <c r="C12" s="1809" t="s">
        <v>1264</v>
      </c>
      <c r="D12" s="1810"/>
      <c r="E12" s="1810"/>
      <c r="F12" s="1810"/>
      <c r="G12" s="1810"/>
      <c r="H12" s="1810"/>
      <c r="I12" s="1810"/>
      <c r="J12" s="1810"/>
      <c r="K12" s="1810"/>
      <c r="L12" s="1810"/>
      <c r="M12" s="1810"/>
      <c r="N12" s="1810"/>
      <c r="O12" s="1811"/>
      <c r="P12" s="975"/>
    </row>
    <row r="13" spans="2:16" s="968" customFormat="1" ht="34.5" customHeight="1">
      <c r="B13" s="977">
        <v>6</v>
      </c>
      <c r="C13" s="1806" t="s">
        <v>1263</v>
      </c>
      <c r="D13" s="1807"/>
      <c r="E13" s="1807"/>
      <c r="F13" s="1807"/>
      <c r="G13" s="1807"/>
      <c r="H13" s="1807"/>
      <c r="I13" s="1807"/>
      <c r="J13" s="1807"/>
      <c r="K13" s="1807"/>
      <c r="L13" s="1807"/>
      <c r="M13" s="1807"/>
      <c r="N13" s="1807"/>
      <c r="O13" s="1808"/>
      <c r="P13" s="975"/>
    </row>
    <row r="14" spans="2:16" s="968" customFormat="1" ht="17.25" customHeight="1">
      <c r="B14" s="977">
        <v>7</v>
      </c>
      <c r="C14" s="1809" t="s">
        <v>1262</v>
      </c>
      <c r="D14" s="1810"/>
      <c r="E14" s="1810"/>
      <c r="F14" s="1810"/>
      <c r="G14" s="1810"/>
      <c r="H14" s="1810"/>
      <c r="I14" s="1810"/>
      <c r="J14" s="1810"/>
      <c r="K14" s="1810"/>
      <c r="L14" s="1810"/>
      <c r="M14" s="1810"/>
      <c r="N14" s="1810"/>
      <c r="O14" s="1811"/>
      <c r="P14" s="975"/>
    </row>
    <row r="15" spans="2:16" s="968" customFormat="1" ht="69" customHeight="1">
      <c r="B15" s="977">
        <v>8</v>
      </c>
      <c r="C15" s="1806" t="s">
        <v>1261</v>
      </c>
      <c r="D15" s="1807"/>
      <c r="E15" s="1807"/>
      <c r="F15" s="1807"/>
      <c r="G15" s="1807"/>
      <c r="H15" s="1807"/>
      <c r="I15" s="1807"/>
      <c r="J15" s="1807"/>
      <c r="K15" s="1807"/>
      <c r="L15" s="1807"/>
      <c r="M15" s="1807"/>
      <c r="N15" s="1807"/>
      <c r="O15" s="1808"/>
      <c r="P15" s="975"/>
    </row>
    <row r="16" spans="2:16" s="968" customFormat="1" ht="51.75" customHeight="1">
      <c r="B16" s="977">
        <v>9</v>
      </c>
      <c r="C16" s="1806" t="s">
        <v>1260</v>
      </c>
      <c r="D16" s="1807"/>
      <c r="E16" s="1807"/>
      <c r="F16" s="1807"/>
      <c r="G16" s="1807"/>
      <c r="H16" s="1807"/>
      <c r="I16" s="1807"/>
      <c r="J16" s="1807"/>
      <c r="K16" s="1807"/>
      <c r="L16" s="1807"/>
      <c r="M16" s="1807"/>
      <c r="N16" s="1807"/>
      <c r="O16" s="1808"/>
      <c r="P16" s="975"/>
    </row>
    <row r="17" spans="1:16" s="968" customFormat="1" ht="17.25" customHeight="1">
      <c r="B17" s="977">
        <v>10</v>
      </c>
      <c r="C17" s="1809" t="s">
        <v>1259</v>
      </c>
      <c r="D17" s="1810"/>
      <c r="E17" s="1810"/>
      <c r="F17" s="1810"/>
      <c r="G17" s="1810"/>
      <c r="H17" s="1810"/>
      <c r="I17" s="1810"/>
      <c r="J17" s="1810"/>
      <c r="K17" s="1810"/>
      <c r="L17" s="1810"/>
      <c r="M17" s="1810"/>
      <c r="N17" s="1810"/>
      <c r="O17" s="1811"/>
      <c r="P17" s="975"/>
    </row>
    <row r="18" spans="1:16" s="968" customFormat="1" ht="17.25" customHeight="1">
      <c r="B18" s="977"/>
      <c r="C18" s="976"/>
      <c r="D18" s="976"/>
      <c r="E18" s="976"/>
      <c r="F18" s="976"/>
      <c r="G18" s="976"/>
      <c r="H18" s="976"/>
      <c r="I18" s="976"/>
      <c r="J18" s="976"/>
      <c r="K18" s="976"/>
      <c r="L18" s="976"/>
      <c r="M18" s="976"/>
      <c r="N18" s="976"/>
      <c r="O18" s="1010" t="s">
        <v>1258</v>
      </c>
      <c r="P18" s="975"/>
    </row>
    <row r="19" spans="1:16" ht="16" thickBot="1">
      <c r="B19" s="974"/>
      <c r="C19" s="973"/>
      <c r="D19" s="973"/>
      <c r="E19" s="973"/>
      <c r="F19" s="973"/>
      <c r="G19" s="973"/>
      <c r="H19" s="973"/>
      <c r="I19" s="973"/>
      <c r="J19" s="973"/>
      <c r="K19" s="973"/>
      <c r="L19" s="973"/>
      <c r="M19" s="973"/>
      <c r="N19" s="973"/>
      <c r="O19" s="973"/>
      <c r="P19" s="972"/>
    </row>
    <row r="21" spans="1:16">
      <c r="A21" s="969"/>
      <c r="B21" s="967"/>
    </row>
    <row r="22" spans="1:16" s="970" customFormat="1" ht="11">
      <c r="B22" s="970" t="s">
        <v>694</v>
      </c>
      <c r="D22" s="970" t="s">
        <v>1257</v>
      </c>
    </row>
    <row r="23" spans="1:16" s="970" customFormat="1" ht="11">
      <c r="C23" s="970" t="s">
        <v>449</v>
      </c>
      <c r="D23" s="970" t="s">
        <v>755</v>
      </c>
      <c r="E23" s="970" t="s">
        <v>1250</v>
      </c>
    </row>
    <row r="24" spans="1:16" s="970" customFormat="1" ht="11">
      <c r="C24" s="970" t="s">
        <v>276</v>
      </c>
      <c r="D24" s="970">
        <v>80.3</v>
      </c>
      <c r="E24" s="970">
        <v>5.34</v>
      </c>
    </row>
    <row r="25" spans="1:16" s="970" customFormat="1" ht="11">
      <c r="C25" s="970" t="s">
        <v>277</v>
      </c>
      <c r="D25" s="970">
        <v>80.099999999999994</v>
      </c>
      <c r="E25" s="970">
        <v>4.1500000000000004</v>
      </c>
    </row>
    <row r="26" spans="1:16" s="970" customFormat="1" ht="11">
      <c r="C26" s="970" t="s">
        <v>88</v>
      </c>
      <c r="D26" s="970">
        <v>81</v>
      </c>
      <c r="E26" s="970">
        <v>2.77</v>
      </c>
    </row>
    <row r="27" spans="1:16" s="970" customFormat="1" ht="11">
      <c r="C27" s="970" t="s">
        <v>89</v>
      </c>
      <c r="D27" s="970">
        <v>82.3</v>
      </c>
      <c r="E27" s="970">
        <v>3.5</v>
      </c>
    </row>
    <row r="28" spans="1:16" s="970" customFormat="1" ht="11">
      <c r="C28" s="970" t="s">
        <v>39</v>
      </c>
      <c r="D28" s="970">
        <v>83</v>
      </c>
      <c r="E28" s="970">
        <v>4.45</v>
      </c>
    </row>
    <row r="29" spans="1:16" s="970" customFormat="1" ht="11">
      <c r="C29" s="970" t="s">
        <v>90</v>
      </c>
      <c r="D29" s="970">
        <v>83.1</v>
      </c>
      <c r="E29" s="970">
        <v>6.51</v>
      </c>
    </row>
    <row r="30" spans="1:16" s="970" customFormat="1" ht="11">
      <c r="C30" s="970" t="s">
        <v>91</v>
      </c>
      <c r="D30" s="970">
        <v>82.2</v>
      </c>
      <c r="E30" s="970">
        <v>12.25</v>
      </c>
    </row>
    <row r="31" spans="1:16" s="970" customFormat="1" ht="11">
      <c r="C31" s="970" t="s">
        <v>92</v>
      </c>
      <c r="D31" s="970">
        <v>81.5</v>
      </c>
      <c r="E31" s="970">
        <v>17.66</v>
      </c>
    </row>
    <row r="32" spans="1:16" s="970" customFormat="1" ht="11">
      <c r="C32" s="970" t="s">
        <v>93</v>
      </c>
      <c r="D32" s="970">
        <v>81.5</v>
      </c>
      <c r="E32" s="970">
        <v>15.17</v>
      </c>
    </row>
    <row r="33" spans="2:17" s="970" customFormat="1" ht="11">
      <c r="C33" s="970" t="s">
        <v>94</v>
      </c>
      <c r="D33" s="970">
        <v>81.7</v>
      </c>
      <c r="E33" s="970">
        <v>12.73</v>
      </c>
    </row>
    <row r="34" spans="2:17" s="970" customFormat="1" ht="11">
      <c r="C34" s="970" t="s">
        <v>95</v>
      </c>
      <c r="D34" s="970">
        <v>82.2</v>
      </c>
      <c r="E34" s="970">
        <v>8.2899999999999991</v>
      </c>
    </row>
    <row r="35" spans="2:17" s="970" customFormat="1" ht="11">
      <c r="C35" s="970" t="s">
        <v>96</v>
      </c>
      <c r="D35" s="970">
        <v>81.599999999999994</v>
      </c>
      <c r="E35" s="970">
        <v>5.3</v>
      </c>
    </row>
    <row r="36" spans="2:17" s="970" customFormat="1" ht="11"/>
    <row r="37" spans="2:17" s="970" customFormat="1" ht="11">
      <c r="C37" s="970" t="s">
        <v>3191</v>
      </c>
      <c r="D37" s="1732">
        <f>AVERAGE(D24:D35)</f>
        <v>81.708333333333343</v>
      </c>
      <c r="E37" s="970">
        <f>SUM(E24:E35)</f>
        <v>98.11999999999999</v>
      </c>
    </row>
    <row r="38" spans="2:17" s="970" customFormat="1" ht="11"/>
    <row r="39" spans="2:17" s="970" customFormat="1" ht="11"/>
    <row r="40" spans="2:17" s="970" customFormat="1" ht="11">
      <c r="B40" s="970" t="s">
        <v>3180</v>
      </c>
      <c r="D40" s="970" t="s">
        <v>3184</v>
      </c>
      <c r="G40" s="970" t="s">
        <v>3189</v>
      </c>
      <c r="M40" s="970" t="s">
        <v>3186</v>
      </c>
      <c r="P40" s="970" t="s">
        <v>3185</v>
      </c>
    </row>
    <row r="41" spans="2:17" s="970" customFormat="1" ht="11">
      <c r="C41" s="970" t="s">
        <v>449</v>
      </c>
      <c r="D41" s="970" t="s">
        <v>755</v>
      </c>
      <c r="E41" s="970" t="s">
        <v>1250</v>
      </c>
      <c r="G41" s="970" t="s">
        <v>755</v>
      </c>
      <c r="H41" s="970" t="s">
        <v>1250</v>
      </c>
      <c r="M41" s="970" t="s">
        <v>755</v>
      </c>
      <c r="N41" s="970" t="s">
        <v>3192</v>
      </c>
      <c r="P41" s="970" t="s">
        <v>755</v>
      </c>
      <c r="Q41" s="970" t="s">
        <v>1250</v>
      </c>
    </row>
    <row r="42" spans="2:17" s="970" customFormat="1" ht="11">
      <c r="C42" s="970" t="s">
        <v>276</v>
      </c>
      <c r="D42" s="970">
        <v>78.900000000000006</v>
      </c>
      <c r="E42" s="970">
        <v>5.66</v>
      </c>
      <c r="G42" s="1732">
        <v>80.193333333333328</v>
      </c>
      <c r="H42" s="1732">
        <v>2.4249999999999998</v>
      </c>
      <c r="M42" s="970">
        <v>77</v>
      </c>
      <c r="N42" s="970">
        <v>3.75</v>
      </c>
      <c r="P42" s="1732">
        <v>77</v>
      </c>
      <c r="Q42" s="1732">
        <v>3.8</v>
      </c>
    </row>
    <row r="43" spans="2:17" s="970" customFormat="1" ht="11">
      <c r="C43" s="970" t="s">
        <v>277</v>
      </c>
      <c r="D43" s="970">
        <v>78.599999999999994</v>
      </c>
      <c r="E43" s="970">
        <v>4.76</v>
      </c>
      <c r="G43" s="1732">
        <v>79.839999999999989</v>
      </c>
      <c r="H43" s="1732">
        <v>2.23</v>
      </c>
      <c r="M43" s="970">
        <v>76.599999999999994</v>
      </c>
      <c r="N43" s="970">
        <v>3.57</v>
      </c>
      <c r="P43" s="1732">
        <v>76.599999999999994</v>
      </c>
      <c r="Q43" s="1732">
        <v>3.18</v>
      </c>
    </row>
    <row r="44" spans="2:17" s="970" customFormat="1" ht="11">
      <c r="C44" s="970" t="s">
        <v>88</v>
      </c>
      <c r="D44" s="970">
        <v>79.3</v>
      </c>
      <c r="E44" s="970">
        <v>3.45</v>
      </c>
      <c r="G44" s="1732">
        <v>80.640000000000015</v>
      </c>
      <c r="H44" s="1732">
        <v>1.89</v>
      </c>
      <c r="M44" s="970">
        <v>77.3</v>
      </c>
      <c r="N44" s="970">
        <v>2.95</v>
      </c>
      <c r="P44" s="1732">
        <v>77.3</v>
      </c>
      <c r="Q44" s="1732">
        <v>2.4500000000000002</v>
      </c>
    </row>
    <row r="45" spans="2:17" s="970" customFormat="1" ht="11">
      <c r="C45" s="970" t="s">
        <v>89</v>
      </c>
      <c r="D45" s="970">
        <v>80.099999999999994</v>
      </c>
      <c r="E45" s="970">
        <v>3.65</v>
      </c>
      <c r="G45" s="1732">
        <v>82.166666666666671</v>
      </c>
      <c r="H45" s="1732">
        <v>2.5</v>
      </c>
      <c r="M45" s="970">
        <v>78.599999999999994</v>
      </c>
      <c r="N45" s="970">
        <v>2.71</v>
      </c>
      <c r="P45" s="1732">
        <v>78.599999999999994</v>
      </c>
      <c r="Q45" s="1732">
        <v>2.93</v>
      </c>
    </row>
    <row r="46" spans="2:17" s="970" customFormat="1" ht="11">
      <c r="C46" s="970" t="s">
        <v>39</v>
      </c>
      <c r="D46" s="970">
        <v>81.2</v>
      </c>
      <c r="E46" s="970">
        <v>3.73</v>
      </c>
      <c r="G46" s="1732">
        <v>83.30714285714285</v>
      </c>
      <c r="H46" s="1732">
        <v>2.64</v>
      </c>
      <c r="M46" s="970">
        <v>80</v>
      </c>
      <c r="N46" s="970">
        <v>3.29</v>
      </c>
      <c r="P46" s="1732">
        <v>80</v>
      </c>
      <c r="Q46" s="1732">
        <v>2.97</v>
      </c>
    </row>
    <row r="47" spans="2:17" s="970" customFormat="1" ht="11">
      <c r="C47" s="970" t="s">
        <v>90</v>
      </c>
      <c r="D47" s="970">
        <v>81.8</v>
      </c>
      <c r="E47" s="970">
        <v>5.41</v>
      </c>
      <c r="G47" s="1732">
        <v>83.993333333333325</v>
      </c>
      <c r="H47" s="1732">
        <v>3.61</v>
      </c>
      <c r="M47" s="970">
        <v>80.3</v>
      </c>
      <c r="N47" s="970">
        <v>4.8899999999999997</v>
      </c>
      <c r="P47" s="1732">
        <v>80.3</v>
      </c>
      <c r="Q47" s="1732">
        <v>4.6500000000000004</v>
      </c>
    </row>
    <row r="48" spans="2:17" s="970" customFormat="1" ht="11">
      <c r="C48" s="970" t="s">
        <v>91</v>
      </c>
      <c r="D48" s="970">
        <v>81.2</v>
      </c>
      <c r="E48" s="970">
        <v>9.86</v>
      </c>
      <c r="G48" s="1732">
        <v>83.171428571428578</v>
      </c>
      <c r="H48" s="1732">
        <v>7.01</v>
      </c>
      <c r="M48" s="970">
        <v>79.8</v>
      </c>
      <c r="N48" s="970">
        <v>8.5500000000000007</v>
      </c>
      <c r="P48" s="1732">
        <v>79.8</v>
      </c>
      <c r="Q48" s="1732">
        <v>9</v>
      </c>
    </row>
    <row r="49" spans="2:17" s="970" customFormat="1" ht="11">
      <c r="C49" s="970" t="s">
        <v>92</v>
      </c>
      <c r="D49" s="970">
        <v>80.5</v>
      </c>
      <c r="E49" s="970">
        <v>14.15</v>
      </c>
      <c r="G49" s="1732">
        <v>82.853846153846149</v>
      </c>
      <c r="H49" s="1732">
        <v>11.465</v>
      </c>
      <c r="M49" s="970">
        <v>79.5</v>
      </c>
      <c r="N49" s="970">
        <v>12.61</v>
      </c>
      <c r="P49" s="1732">
        <v>79.5</v>
      </c>
      <c r="Q49" s="1732">
        <v>13.09</v>
      </c>
    </row>
    <row r="50" spans="2:17" s="970" customFormat="1" ht="11">
      <c r="C50" s="970" t="s">
        <v>93</v>
      </c>
      <c r="D50" s="970">
        <v>80.599999999999994</v>
      </c>
      <c r="E50" s="970">
        <v>15.04</v>
      </c>
      <c r="G50" s="1732">
        <v>82.513333333333335</v>
      </c>
      <c r="H50" s="1732">
        <v>10.58</v>
      </c>
      <c r="J50" s="1734"/>
      <c r="K50" s="1734"/>
      <c r="M50" s="970">
        <v>79.3</v>
      </c>
      <c r="N50" s="970">
        <v>11.44</v>
      </c>
      <c r="P50" s="1732">
        <v>79.3</v>
      </c>
      <c r="Q50" s="1732">
        <v>13.18</v>
      </c>
    </row>
    <row r="51" spans="2:17" s="970" customFormat="1" ht="11">
      <c r="C51" s="970" t="s">
        <v>94</v>
      </c>
      <c r="D51" s="970">
        <v>80.8</v>
      </c>
      <c r="E51" s="970">
        <v>13.88</v>
      </c>
      <c r="G51" s="1732">
        <v>82.023076923076914</v>
      </c>
      <c r="H51" s="1732">
        <v>10.45</v>
      </c>
      <c r="M51" s="970">
        <v>79.3</v>
      </c>
      <c r="N51" s="970">
        <v>10.24</v>
      </c>
      <c r="P51" s="1732">
        <v>79.3</v>
      </c>
      <c r="Q51" s="1732">
        <v>11.64</v>
      </c>
    </row>
    <row r="52" spans="2:17" s="970" customFormat="1" ht="11">
      <c r="C52" s="970" t="s">
        <v>95</v>
      </c>
      <c r="D52" s="970">
        <v>80.8</v>
      </c>
      <c r="E52" s="970">
        <v>7.49</v>
      </c>
      <c r="G52" s="1732">
        <v>82.279999999999987</v>
      </c>
      <c r="H52" s="1732">
        <v>4.3899999999999997</v>
      </c>
      <c r="J52" s="1734"/>
      <c r="K52" s="1734"/>
      <c r="M52" s="970">
        <v>79.3</v>
      </c>
      <c r="N52" s="970">
        <v>7.84</v>
      </c>
      <c r="P52" s="1732">
        <v>79.3</v>
      </c>
      <c r="Q52" s="1732">
        <v>6.55</v>
      </c>
    </row>
    <row r="53" spans="2:17" s="970" customFormat="1" ht="11">
      <c r="C53" s="970" t="s">
        <v>96</v>
      </c>
      <c r="D53" s="970">
        <v>80.2</v>
      </c>
      <c r="E53" s="970">
        <v>5.35</v>
      </c>
      <c r="G53" s="1732">
        <v>81.546666666666667</v>
      </c>
      <c r="H53" s="1732">
        <v>3.19</v>
      </c>
      <c r="M53" s="970">
        <v>78.099999999999994</v>
      </c>
      <c r="N53" s="970">
        <v>5.63</v>
      </c>
      <c r="P53" s="1732">
        <v>78.099999999999994</v>
      </c>
      <c r="Q53" s="1732">
        <v>4.1500000000000004</v>
      </c>
    </row>
    <row r="54" spans="2:17" s="970" customFormat="1" ht="11"/>
    <row r="55" spans="2:17" s="970" customFormat="1" ht="11">
      <c r="C55" s="970" t="s">
        <v>3191</v>
      </c>
      <c r="D55" s="1732">
        <f>AVERAGE(D42:D53)</f>
        <v>80.333333333333329</v>
      </c>
      <c r="E55" s="970">
        <f>SUM(E42:E53)</f>
        <v>92.429999999999978</v>
      </c>
      <c r="G55" s="1732">
        <f>AVERAGE(G42:G53)</f>
        <v>82.044068986568973</v>
      </c>
      <c r="H55" s="970">
        <f>SUM(H42:H53)</f>
        <v>62.379999999999995</v>
      </c>
      <c r="J55" s="1732"/>
      <c r="M55" s="971">
        <f>AVERAGE(M42:M53)</f>
        <v>78.758333333333326</v>
      </c>
      <c r="N55" s="970">
        <f>SUM(N42:N53)</f>
        <v>77.47</v>
      </c>
      <c r="P55" s="971">
        <f>AVERAGE(P42:P53)</f>
        <v>78.758333333333326</v>
      </c>
      <c r="Q55" s="970">
        <f>SUM(Q42:Q53)</f>
        <v>77.59</v>
      </c>
    </row>
    <row r="56" spans="2:17" s="970" customFormat="1" ht="11"/>
    <row r="57" spans="2:17" s="970" customFormat="1" ht="11"/>
    <row r="58" spans="2:17" s="970" customFormat="1" ht="11">
      <c r="B58" s="970" t="s">
        <v>3181</v>
      </c>
      <c r="D58" s="970" t="s">
        <v>3190</v>
      </c>
      <c r="G58" s="970" t="s">
        <v>3187</v>
      </c>
      <c r="M58" s="970" t="s">
        <v>3188</v>
      </c>
    </row>
    <row r="59" spans="2:17" s="970" customFormat="1" ht="11">
      <c r="C59" s="970" t="s">
        <v>449</v>
      </c>
      <c r="D59" s="970" t="s">
        <v>755</v>
      </c>
      <c r="E59" s="970" t="s">
        <v>1250</v>
      </c>
      <c r="G59" s="970" t="s">
        <v>755</v>
      </c>
      <c r="H59" s="970" t="s">
        <v>1250</v>
      </c>
      <c r="M59" s="970" t="s">
        <v>755</v>
      </c>
      <c r="N59" s="970" t="s">
        <v>3192</v>
      </c>
    </row>
    <row r="60" spans="2:17" s="970" customFormat="1" ht="11">
      <c r="C60" s="970" t="s">
        <v>276</v>
      </c>
      <c r="D60" s="1732">
        <v>79</v>
      </c>
      <c r="E60" s="1732">
        <v>9.24</v>
      </c>
      <c r="G60" s="970">
        <v>79</v>
      </c>
      <c r="H60" s="970">
        <v>10.48</v>
      </c>
      <c r="J60" s="1734"/>
      <c r="K60" s="1734"/>
      <c r="M60" s="970">
        <v>80.900000000000006</v>
      </c>
      <c r="N60" s="970">
        <v>8.59</v>
      </c>
    </row>
    <row r="61" spans="2:17" s="970" customFormat="1" ht="11">
      <c r="C61" s="970" t="s">
        <v>277</v>
      </c>
      <c r="D61" s="1732">
        <v>79.3</v>
      </c>
      <c r="E61" s="1732">
        <v>7.93</v>
      </c>
      <c r="G61" s="970">
        <v>79.3</v>
      </c>
      <c r="H61" s="970">
        <v>8.51</v>
      </c>
      <c r="M61" s="970">
        <v>80.099999999999994</v>
      </c>
      <c r="N61" s="970">
        <v>8.3699999999999992</v>
      </c>
    </row>
    <row r="62" spans="2:17" s="970" customFormat="1" ht="11">
      <c r="C62" s="970" t="s">
        <v>88</v>
      </c>
      <c r="D62" s="1732">
        <v>79.5</v>
      </c>
      <c r="E62" s="1732">
        <v>7.16</v>
      </c>
      <c r="G62" s="970">
        <v>79.5</v>
      </c>
      <c r="H62" s="970">
        <v>9.01</v>
      </c>
      <c r="J62" s="1734"/>
      <c r="K62" s="1734"/>
      <c r="M62" s="970">
        <v>81.099999999999994</v>
      </c>
      <c r="N62" s="970">
        <v>6.86</v>
      </c>
    </row>
    <row r="63" spans="2:17" s="970" customFormat="1" ht="11">
      <c r="C63" s="970" t="s">
        <v>89</v>
      </c>
      <c r="D63" s="1732">
        <v>80.599999999999994</v>
      </c>
      <c r="E63" s="1732">
        <v>8.8000000000000007</v>
      </c>
      <c r="G63" s="970">
        <v>80.599999999999994</v>
      </c>
      <c r="H63" s="970">
        <v>7.86</v>
      </c>
      <c r="M63" s="970">
        <v>82.2</v>
      </c>
      <c r="N63" s="970">
        <v>5.3049999999999997</v>
      </c>
    </row>
    <row r="64" spans="2:17" s="970" customFormat="1" ht="11">
      <c r="C64" s="970" t="s">
        <v>39</v>
      </c>
      <c r="D64" s="1732">
        <v>81</v>
      </c>
      <c r="E64" s="1732">
        <v>12.34</v>
      </c>
      <c r="G64" s="970">
        <v>81</v>
      </c>
      <c r="H64" s="970">
        <v>13.34</v>
      </c>
      <c r="J64" s="1734"/>
      <c r="K64" s="1734"/>
      <c r="M64" s="970">
        <v>82.5</v>
      </c>
      <c r="N64" s="970">
        <v>10.35</v>
      </c>
    </row>
    <row r="65" spans="2:44" s="970" customFormat="1" ht="11">
      <c r="C65" s="970" t="s">
        <v>90</v>
      </c>
      <c r="D65" s="1732">
        <v>80.400000000000006</v>
      </c>
      <c r="E65" s="1732">
        <v>15.54</v>
      </c>
      <c r="G65" s="970">
        <v>80.400000000000006</v>
      </c>
      <c r="H65" s="970">
        <v>17.13</v>
      </c>
      <c r="M65" s="970">
        <v>81.599999999999994</v>
      </c>
      <c r="N65" s="970">
        <v>12.13</v>
      </c>
    </row>
    <row r="66" spans="2:44" s="970" customFormat="1" ht="11">
      <c r="C66" s="970" t="s">
        <v>91</v>
      </c>
      <c r="D66" s="1732">
        <v>80.400000000000006</v>
      </c>
      <c r="E66" s="1732">
        <v>16.38</v>
      </c>
      <c r="G66" s="970">
        <v>80.400000000000006</v>
      </c>
      <c r="H66" s="970">
        <v>15.08</v>
      </c>
      <c r="J66" s="1734"/>
      <c r="K66" s="1734"/>
      <c r="M66" s="970">
        <v>81.3</v>
      </c>
      <c r="N66" s="970">
        <v>12.11</v>
      </c>
    </row>
    <row r="67" spans="2:44" s="970" customFormat="1" ht="11">
      <c r="C67" s="970" t="s">
        <v>92</v>
      </c>
      <c r="D67" s="1732">
        <v>80.5</v>
      </c>
      <c r="E67" s="1732">
        <v>13.25</v>
      </c>
      <c r="G67" s="970">
        <v>80.5</v>
      </c>
      <c r="H67" s="970">
        <v>14.29</v>
      </c>
      <c r="M67" s="970">
        <v>82.2</v>
      </c>
      <c r="N67" s="970">
        <v>8.89</v>
      </c>
      <c r="AG67" s="970">
        <v>14.240000000000002</v>
      </c>
      <c r="AH67" s="970">
        <v>10.41</v>
      </c>
      <c r="AI67" s="970">
        <v>12.96</v>
      </c>
      <c r="AJ67" s="970">
        <v>16.670000000000002</v>
      </c>
      <c r="AK67" s="970">
        <v>18.850000000000001</v>
      </c>
      <c r="AL67" s="970">
        <v>17.065000000000001</v>
      </c>
      <c r="AM67" s="970">
        <v>18.39</v>
      </c>
      <c r="AN67" s="970">
        <v>14.420000000000002</v>
      </c>
      <c r="AO67" s="970">
        <v>14.56</v>
      </c>
      <c r="AP67" s="970">
        <v>15.19</v>
      </c>
      <c r="AQ67" s="970">
        <v>15.1</v>
      </c>
      <c r="AR67" s="970">
        <v>14.02</v>
      </c>
    </row>
    <row r="68" spans="2:44" s="970" customFormat="1" ht="11">
      <c r="C68" s="970" t="s">
        <v>93</v>
      </c>
      <c r="D68" s="1732">
        <v>80.7</v>
      </c>
      <c r="E68" s="1732">
        <v>13.39</v>
      </c>
      <c r="G68" s="970">
        <v>80.7</v>
      </c>
      <c r="H68" s="970">
        <v>13.22</v>
      </c>
      <c r="J68" s="1734"/>
      <c r="K68" s="1734"/>
      <c r="M68" s="970">
        <v>82.3</v>
      </c>
      <c r="N68" s="970">
        <v>7.8</v>
      </c>
    </row>
    <row r="69" spans="2:44" s="970" customFormat="1" ht="11">
      <c r="C69" s="970" t="s">
        <v>94</v>
      </c>
      <c r="D69" s="1732">
        <v>80.3</v>
      </c>
      <c r="E69" s="1732">
        <v>10.92</v>
      </c>
      <c r="G69" s="970">
        <v>80.3</v>
      </c>
      <c r="H69" s="970">
        <v>13.49</v>
      </c>
      <c r="M69" s="970">
        <v>82.1</v>
      </c>
      <c r="N69" s="970">
        <v>7.6850000000000005</v>
      </c>
    </row>
    <row r="70" spans="2:44" s="970" customFormat="1" ht="11">
      <c r="C70" s="970" t="s">
        <v>95</v>
      </c>
      <c r="D70" s="1732">
        <v>80.400000000000006</v>
      </c>
      <c r="E70" s="1732">
        <v>10.94</v>
      </c>
      <c r="G70" s="970">
        <v>80.400000000000006</v>
      </c>
      <c r="H70" s="970">
        <v>10.93</v>
      </c>
      <c r="J70" s="1734"/>
      <c r="K70" s="1734"/>
      <c r="M70" s="970">
        <v>82.4</v>
      </c>
      <c r="N70" s="970">
        <v>7.08</v>
      </c>
    </row>
    <row r="71" spans="2:44" s="970" customFormat="1" ht="11">
      <c r="C71" s="970" t="s">
        <v>96</v>
      </c>
      <c r="D71" s="1732">
        <v>80.3</v>
      </c>
      <c r="E71" s="1732">
        <v>11.89</v>
      </c>
      <c r="G71" s="970">
        <v>80.3</v>
      </c>
      <c r="H71" s="970">
        <v>12.6</v>
      </c>
      <c r="M71" s="970">
        <v>81.5</v>
      </c>
      <c r="N71" s="970">
        <v>11.715</v>
      </c>
    </row>
    <row r="72" spans="2:44" s="970" customFormat="1" ht="11"/>
    <row r="73" spans="2:44" s="970" customFormat="1" ht="11">
      <c r="C73" s="970" t="s">
        <v>3191</v>
      </c>
      <c r="D73" s="1732">
        <f>AVERAGE(D60:D71)</f>
        <v>80.199999999999989</v>
      </c>
      <c r="E73" s="970">
        <f>SUM(E60:E71)</f>
        <v>137.78</v>
      </c>
      <c r="G73" s="970">
        <f>AVERAGE(G60:G71)</f>
        <v>80.199999999999989</v>
      </c>
      <c r="H73" s="970">
        <f>SUM(H60:H71)</f>
        <v>145.93999999999997</v>
      </c>
      <c r="J73" s="1732"/>
      <c r="M73" s="971">
        <f>AVERAGE(M60:M71)</f>
        <v>81.683333333333323</v>
      </c>
      <c r="N73" s="970">
        <f>SUM(N60:N71)</f>
        <v>106.88500000000001</v>
      </c>
    </row>
    <row r="74" spans="2:44" s="970" customFormat="1" ht="11"/>
    <row r="75" spans="2:44" s="970" customFormat="1" ht="11"/>
    <row r="76" spans="2:44" s="970" customFormat="1" ht="11">
      <c r="B76" s="970" t="s">
        <v>3182</v>
      </c>
      <c r="D76" s="970" t="s">
        <v>3173</v>
      </c>
      <c r="G76" s="970" t="s">
        <v>3174</v>
      </c>
      <c r="M76" s="970" t="s">
        <v>3175</v>
      </c>
      <c r="P76" s="970" t="s">
        <v>3176</v>
      </c>
      <c r="S76" s="970" t="s">
        <v>3177</v>
      </c>
      <c r="V76" s="970" t="s">
        <v>3178</v>
      </c>
      <c r="Y76" s="970" t="s">
        <v>1255</v>
      </c>
      <c r="AB76" s="970" t="s">
        <v>1256</v>
      </c>
    </row>
    <row r="77" spans="2:44" s="970" customFormat="1" ht="11">
      <c r="C77" s="970" t="s">
        <v>449</v>
      </c>
      <c r="D77" s="970" t="s">
        <v>755</v>
      </c>
      <c r="E77" s="970" t="s">
        <v>1250</v>
      </c>
      <c r="G77" s="970" t="s">
        <v>755</v>
      </c>
      <c r="H77" s="970" t="s">
        <v>1250</v>
      </c>
      <c r="J77" s="970" t="s">
        <v>755</v>
      </c>
      <c r="K77" s="970" t="s">
        <v>1250</v>
      </c>
      <c r="M77" s="970" t="s">
        <v>755</v>
      </c>
      <c r="N77" s="970" t="s">
        <v>1250</v>
      </c>
      <c r="P77" s="970" t="s">
        <v>755</v>
      </c>
      <c r="Q77" s="970" t="s">
        <v>1250</v>
      </c>
      <c r="S77" s="970" t="s">
        <v>755</v>
      </c>
      <c r="T77" s="970" t="s">
        <v>1250</v>
      </c>
      <c r="V77" s="970" t="s">
        <v>755</v>
      </c>
      <c r="W77" s="970" t="s">
        <v>1250</v>
      </c>
      <c r="Y77" s="970" t="s">
        <v>755</v>
      </c>
      <c r="Z77" s="970" t="s">
        <v>1250</v>
      </c>
      <c r="AB77" s="970" t="s">
        <v>755</v>
      </c>
      <c r="AC77" s="970" t="s">
        <v>1250</v>
      </c>
    </row>
    <row r="78" spans="2:44" s="970" customFormat="1" ht="11">
      <c r="C78" s="970" t="s">
        <v>276</v>
      </c>
      <c r="D78" s="1733">
        <v>81.799999999999983</v>
      </c>
      <c r="E78" s="1732">
        <v>10</v>
      </c>
      <c r="G78" s="1732">
        <v>80.49166666666666</v>
      </c>
      <c r="H78" s="1732">
        <v>17.145</v>
      </c>
      <c r="K78" s="1732"/>
      <c r="M78" s="1732">
        <v>81.966666666666669</v>
      </c>
      <c r="N78" s="1732">
        <v>12.59</v>
      </c>
      <c r="P78" s="1732">
        <v>82.25</v>
      </c>
      <c r="Q78" s="1732">
        <v>12.265000000000001</v>
      </c>
      <c r="S78" s="1732">
        <v>80.856666666666669</v>
      </c>
      <c r="T78" s="1732">
        <v>11.555</v>
      </c>
      <c r="V78" s="1732">
        <v>79.708333333333343</v>
      </c>
      <c r="W78" s="970">
        <v>14.240000000000002</v>
      </c>
      <c r="Y78" s="970">
        <v>81.599999999999994</v>
      </c>
      <c r="Z78" s="970">
        <v>6.89</v>
      </c>
      <c r="AB78" s="970">
        <v>80.3</v>
      </c>
      <c r="AC78" s="970">
        <v>7.96</v>
      </c>
    </row>
    <row r="79" spans="2:44" s="970" customFormat="1" ht="11">
      <c r="C79" s="970" t="s">
        <v>277</v>
      </c>
      <c r="D79" s="1733">
        <v>81.700000000000017</v>
      </c>
      <c r="E79" s="1732">
        <v>8.9450000000000003</v>
      </c>
      <c r="G79" s="1732">
        <v>80.453571428571436</v>
      </c>
      <c r="H79" s="1732">
        <v>14.620000000000001</v>
      </c>
      <c r="J79" s="970">
        <v>80.099999999999994</v>
      </c>
      <c r="K79" s="1732">
        <v>16.05</v>
      </c>
      <c r="M79" s="1732">
        <v>82.783333333333331</v>
      </c>
      <c r="N79" s="1732">
        <v>14.335000000000001</v>
      </c>
      <c r="P79" s="1732">
        <v>82.705555555555563</v>
      </c>
      <c r="Q79" s="1732">
        <v>9.1</v>
      </c>
      <c r="S79" s="1732">
        <v>81.066666666666663</v>
      </c>
      <c r="T79" s="1732">
        <v>9.2899999999999991</v>
      </c>
      <c r="V79" s="1732">
        <v>80.354545454545445</v>
      </c>
      <c r="W79" s="970">
        <v>10.41</v>
      </c>
      <c r="Y79" s="970">
        <v>81.2</v>
      </c>
      <c r="Z79" s="970">
        <v>6.43</v>
      </c>
      <c r="AB79" s="970">
        <v>80</v>
      </c>
      <c r="AC79" s="970">
        <v>6.02</v>
      </c>
    </row>
    <row r="80" spans="2:44" s="970" customFormat="1" ht="11">
      <c r="C80" s="970" t="s">
        <v>88</v>
      </c>
      <c r="D80" s="1733">
        <v>82.080000000000013</v>
      </c>
      <c r="E80" s="1732">
        <v>9.6</v>
      </c>
      <c r="G80" s="1732">
        <v>80.525925925925918</v>
      </c>
      <c r="H80" s="1732">
        <v>15.27</v>
      </c>
      <c r="J80" s="970">
        <v>80.5</v>
      </c>
      <c r="K80" s="1732">
        <v>17.755000000000003</v>
      </c>
      <c r="M80" s="1732">
        <v>82.283333333333331</v>
      </c>
      <c r="N80" s="1732">
        <v>16.559999999999999</v>
      </c>
      <c r="P80" s="1732">
        <v>82.505882352941171</v>
      </c>
      <c r="Q80" s="1732">
        <v>11.305</v>
      </c>
      <c r="S80" s="1732">
        <v>81.19</v>
      </c>
      <c r="T80" s="1732">
        <v>14.684999999999999</v>
      </c>
      <c r="V80" s="1732">
        <v>80.415384615384625</v>
      </c>
      <c r="W80" s="970">
        <v>12.96</v>
      </c>
      <c r="Y80" s="970">
        <v>80.900000000000006</v>
      </c>
      <c r="Z80" s="970">
        <v>8.2200000000000006</v>
      </c>
      <c r="AB80" s="970">
        <v>80.8</v>
      </c>
      <c r="AC80" s="970">
        <v>5.82</v>
      </c>
    </row>
    <row r="81" spans="2:29" s="970" customFormat="1" ht="11">
      <c r="C81" s="970" t="s">
        <v>89</v>
      </c>
      <c r="D81" s="1733">
        <v>82.429999999999993</v>
      </c>
      <c r="E81" s="1732">
        <v>11.42</v>
      </c>
      <c r="G81" s="1732">
        <v>80.707407407407402</v>
      </c>
      <c r="H81" s="1732">
        <v>21.63</v>
      </c>
      <c r="J81" s="970">
        <v>81.099999999999994</v>
      </c>
      <c r="K81" s="1732">
        <v>21.414999999999999</v>
      </c>
      <c r="M81" s="1732">
        <v>82.55</v>
      </c>
      <c r="N81" s="1732">
        <v>13.55</v>
      </c>
      <c r="P81" s="1732">
        <v>82.24</v>
      </c>
      <c r="Q81" s="1732">
        <v>11.68</v>
      </c>
      <c r="S81" s="1732">
        <v>81.230000000000018</v>
      </c>
      <c r="T81" s="1732">
        <v>18.405000000000001</v>
      </c>
      <c r="V81" s="1732">
        <v>80.193333333333314</v>
      </c>
      <c r="W81" s="970">
        <v>16.670000000000002</v>
      </c>
      <c r="Y81" s="970">
        <v>81.3</v>
      </c>
      <c r="Z81" s="970">
        <v>8.16</v>
      </c>
      <c r="AB81" s="970">
        <v>81.400000000000006</v>
      </c>
      <c r="AC81" s="970">
        <v>5.92</v>
      </c>
    </row>
    <row r="82" spans="2:29" s="970" customFormat="1" ht="11">
      <c r="C82" s="970" t="s">
        <v>39</v>
      </c>
      <c r="D82" s="1733">
        <v>82.456666666666678</v>
      </c>
      <c r="E82" s="1732">
        <v>11.379999999999999</v>
      </c>
      <c r="G82" s="1732">
        <v>80.861538461538458</v>
      </c>
      <c r="H82" s="1732">
        <v>19.13</v>
      </c>
      <c r="J82" s="970">
        <v>81.099999999999994</v>
      </c>
      <c r="K82" s="1732">
        <v>19.97</v>
      </c>
      <c r="M82" s="1732">
        <v>82.35</v>
      </c>
      <c r="N82" s="1732">
        <v>14.59</v>
      </c>
      <c r="P82" s="1732">
        <v>82.424999999999997</v>
      </c>
      <c r="Q82" s="1732">
        <v>12.945</v>
      </c>
      <c r="S82" s="1732">
        <v>81.250000000000014</v>
      </c>
      <c r="T82" s="1732">
        <v>17.984999999999999</v>
      </c>
      <c r="V82" s="1732">
        <v>80.84545454545453</v>
      </c>
      <c r="W82" s="970">
        <v>18.850000000000001</v>
      </c>
      <c r="Y82" s="970">
        <v>81.400000000000006</v>
      </c>
      <c r="Z82" s="970">
        <v>10.45</v>
      </c>
      <c r="AB82" s="970">
        <v>82.2</v>
      </c>
      <c r="AC82" s="970">
        <v>8.69</v>
      </c>
    </row>
    <row r="83" spans="2:29" s="970" customFormat="1" ht="11">
      <c r="C83" s="970" t="s">
        <v>90</v>
      </c>
      <c r="D83" s="1733">
        <v>82.096666666666636</v>
      </c>
      <c r="E83" s="1732">
        <v>11.955</v>
      </c>
      <c r="G83" s="1732">
        <v>80.867857142857119</v>
      </c>
      <c r="H83" s="1732">
        <v>14.824999999999999</v>
      </c>
      <c r="J83" s="970">
        <v>80.8</v>
      </c>
      <c r="K83" s="1732">
        <v>16.809999999999999</v>
      </c>
      <c r="M83" s="1732">
        <v>82.416666666666671</v>
      </c>
      <c r="N83" s="1732">
        <v>13.344999999999999</v>
      </c>
      <c r="P83" s="1732">
        <v>82.535294117647055</v>
      </c>
      <c r="Q83" s="1732">
        <v>12.46</v>
      </c>
      <c r="S83" s="1732">
        <v>81.240000000000009</v>
      </c>
      <c r="T83" s="1732">
        <v>14.86</v>
      </c>
      <c r="V83" s="1732">
        <v>80.1875</v>
      </c>
      <c r="W83" s="970">
        <v>17.065000000000001</v>
      </c>
      <c r="Y83" s="970">
        <v>81</v>
      </c>
      <c r="Z83" s="970">
        <v>11.62</v>
      </c>
      <c r="AB83" s="970">
        <v>81.400000000000006</v>
      </c>
      <c r="AC83" s="970">
        <v>12.25</v>
      </c>
    </row>
    <row r="84" spans="2:29" s="970" customFormat="1" ht="11">
      <c r="C84" s="970" t="s">
        <v>91</v>
      </c>
      <c r="D84" s="1733">
        <v>81.926666666666677</v>
      </c>
      <c r="E84" s="1732">
        <v>11.8</v>
      </c>
      <c r="G84" s="1732">
        <v>80.796153846153842</v>
      </c>
      <c r="H84" s="1732">
        <v>14.79</v>
      </c>
      <c r="J84" s="970">
        <v>81</v>
      </c>
      <c r="K84" s="1732">
        <v>15.13</v>
      </c>
      <c r="M84" s="1732">
        <v>82.016666666666666</v>
      </c>
      <c r="N84" s="1732">
        <v>13.06</v>
      </c>
      <c r="P84" s="1732">
        <v>82.056250000000006</v>
      </c>
      <c r="Q84" s="1732">
        <v>11.76</v>
      </c>
      <c r="S84" s="1732">
        <v>81.153333333333336</v>
      </c>
      <c r="T84" s="1732">
        <v>14.96</v>
      </c>
      <c r="V84" s="1732">
        <v>79.322222222222237</v>
      </c>
      <c r="W84" s="970">
        <v>18.39</v>
      </c>
      <c r="Y84" s="970">
        <v>81.2</v>
      </c>
      <c r="Z84" s="970">
        <v>11.57</v>
      </c>
      <c r="AB84" s="970">
        <v>80.900000000000006</v>
      </c>
      <c r="AC84" s="970">
        <v>14.13</v>
      </c>
    </row>
    <row r="85" spans="2:29" s="970" customFormat="1" ht="11">
      <c r="C85" s="970" t="s">
        <v>92</v>
      </c>
      <c r="D85" s="1733">
        <v>81.693333333333342</v>
      </c>
      <c r="E85" s="1732">
        <v>12.984999999999999</v>
      </c>
      <c r="G85" s="1732">
        <v>81.073076923076925</v>
      </c>
      <c r="H85" s="1732">
        <v>13.61</v>
      </c>
      <c r="J85" s="970">
        <v>81.099999999999994</v>
      </c>
      <c r="K85" s="1732">
        <v>14.91</v>
      </c>
      <c r="M85" s="1732">
        <v>82.514285714285705</v>
      </c>
      <c r="N85" s="1732">
        <v>11.87</v>
      </c>
      <c r="P85" s="1732">
        <v>82.36666666666666</v>
      </c>
      <c r="Q85" s="1732">
        <v>10.850000000000001</v>
      </c>
      <c r="S85" s="1732">
        <v>81.300000000000011</v>
      </c>
      <c r="T85" s="1732">
        <v>14.585000000000001</v>
      </c>
      <c r="V85" s="1732">
        <v>79.369230769230754</v>
      </c>
      <c r="W85" s="970">
        <v>14.420000000000002</v>
      </c>
      <c r="Y85" s="970">
        <v>81.099999999999994</v>
      </c>
      <c r="Z85" s="970">
        <v>13.1</v>
      </c>
      <c r="AB85" s="970">
        <v>80.599999999999994</v>
      </c>
      <c r="AC85" s="970">
        <v>14.6</v>
      </c>
    </row>
    <row r="86" spans="2:29" s="970" customFormat="1" ht="11">
      <c r="C86" s="970" t="s">
        <v>93</v>
      </c>
      <c r="D86" s="1733">
        <v>81.74666666666667</v>
      </c>
      <c r="E86" s="1732">
        <v>13.945</v>
      </c>
      <c r="G86" s="1732">
        <v>81.023076923076914</v>
      </c>
      <c r="H86" s="1732">
        <v>14.92</v>
      </c>
      <c r="J86" s="970">
        <v>81.8</v>
      </c>
      <c r="K86" s="1732">
        <v>15.975</v>
      </c>
      <c r="M86" s="1732">
        <v>82.6</v>
      </c>
      <c r="N86" s="1732">
        <v>10.524999999999999</v>
      </c>
      <c r="P86" s="1732">
        <v>82.326315789473668</v>
      </c>
      <c r="Q86" s="1732">
        <v>13.649999999999999</v>
      </c>
      <c r="S86" s="1732">
        <v>81.160000000000011</v>
      </c>
      <c r="T86" s="1732">
        <v>14.149999999999999</v>
      </c>
      <c r="V86" s="1732">
        <v>79.5625</v>
      </c>
      <c r="W86" s="970">
        <v>14.56</v>
      </c>
      <c r="Y86" s="970">
        <v>81</v>
      </c>
      <c r="Z86" s="970">
        <v>11.12</v>
      </c>
      <c r="AB86" s="970">
        <v>80.400000000000006</v>
      </c>
      <c r="AC86" s="970">
        <v>14.41</v>
      </c>
    </row>
    <row r="87" spans="2:29" s="970" customFormat="1" ht="11">
      <c r="C87" s="970" t="s">
        <v>94</v>
      </c>
      <c r="D87" s="1733">
        <v>82.023333333333355</v>
      </c>
      <c r="E87" s="1732">
        <v>11.254999999999999</v>
      </c>
      <c r="G87" s="1732">
        <v>81.071428571428569</v>
      </c>
      <c r="H87" s="1732">
        <v>12.3</v>
      </c>
      <c r="J87" s="970">
        <v>81.400000000000006</v>
      </c>
      <c r="K87" s="1732">
        <v>13.11</v>
      </c>
      <c r="M87" s="1732">
        <v>82.771428571428572</v>
      </c>
      <c r="N87" s="1732">
        <v>10.46</v>
      </c>
      <c r="P87" s="1732">
        <v>82.21764705882353</v>
      </c>
      <c r="Q87" s="1732">
        <v>11.76</v>
      </c>
      <c r="S87" s="1732">
        <v>81.136666666666642</v>
      </c>
      <c r="T87" s="1732">
        <v>13.76</v>
      </c>
      <c r="V87" s="1732">
        <v>79.770588235294113</v>
      </c>
      <c r="W87" s="970">
        <v>15.19</v>
      </c>
      <c r="Y87" s="970">
        <v>81.5</v>
      </c>
      <c r="Z87" s="970">
        <v>9.3800000000000008</v>
      </c>
      <c r="AB87" s="970">
        <v>80.7</v>
      </c>
      <c r="AC87" s="970">
        <v>11.75</v>
      </c>
    </row>
    <row r="88" spans="2:29" s="970" customFormat="1" ht="11">
      <c r="C88" s="970" t="s">
        <v>95</v>
      </c>
      <c r="D88" s="1733">
        <v>82.210000000000022</v>
      </c>
      <c r="E88" s="1732">
        <v>11.085000000000001</v>
      </c>
      <c r="G88" s="1732">
        <v>80.874074074074073</v>
      </c>
      <c r="H88" s="1732">
        <v>14.35</v>
      </c>
      <c r="J88" s="970">
        <v>81.400000000000006</v>
      </c>
      <c r="K88" s="1732">
        <v>16.23</v>
      </c>
      <c r="M88" s="1732">
        <v>82.671428571428578</v>
      </c>
      <c r="N88" s="1732">
        <v>9.5350000000000001</v>
      </c>
      <c r="P88" s="1732">
        <v>81.993333333333339</v>
      </c>
      <c r="Q88" s="1732">
        <v>12.31</v>
      </c>
      <c r="S88" s="1732">
        <v>81.11999999999999</v>
      </c>
      <c r="T88" s="1732">
        <v>14.645</v>
      </c>
      <c r="V88" s="1732">
        <v>80.392307692307682</v>
      </c>
      <c r="W88" s="970">
        <v>15.1</v>
      </c>
      <c r="Y88" s="970">
        <v>81.599999999999994</v>
      </c>
      <c r="Z88" s="970">
        <v>7.95</v>
      </c>
      <c r="AB88" s="970">
        <v>80.5</v>
      </c>
      <c r="AC88" s="970">
        <v>9.59</v>
      </c>
    </row>
    <row r="89" spans="2:29" s="970" customFormat="1" ht="11">
      <c r="C89" s="970" t="s">
        <v>96</v>
      </c>
      <c r="D89" s="1733">
        <v>82.060000000000016</v>
      </c>
      <c r="E89" s="1732">
        <v>11.815000000000001</v>
      </c>
      <c r="G89" s="1732">
        <v>80.418518518518511</v>
      </c>
      <c r="H89" s="1732">
        <v>18.39</v>
      </c>
      <c r="J89" s="970">
        <v>81</v>
      </c>
      <c r="K89" s="1732">
        <v>19.850000000000001</v>
      </c>
      <c r="M89" s="1732">
        <v>82.628571428571419</v>
      </c>
      <c r="N89" s="1732">
        <v>12.54</v>
      </c>
      <c r="P89" s="1732">
        <v>82.02000000000001</v>
      </c>
      <c r="Q89" s="1732">
        <v>11.98</v>
      </c>
      <c r="S89" s="1732">
        <v>80.940000000000012</v>
      </c>
      <c r="T89" s="1732">
        <v>16.990000000000002</v>
      </c>
      <c r="V89" s="1732">
        <v>79.781818181818167</v>
      </c>
      <c r="W89" s="970">
        <v>14.02</v>
      </c>
      <c r="Y89" s="970">
        <v>81.599999999999994</v>
      </c>
      <c r="Z89" s="970">
        <v>9</v>
      </c>
      <c r="AB89" s="970">
        <v>80.400000000000006</v>
      </c>
      <c r="AC89" s="970">
        <v>10.34</v>
      </c>
    </row>
    <row r="90" spans="2:29" s="970" customFormat="1" ht="11"/>
    <row r="91" spans="2:29" s="970" customFormat="1" ht="11">
      <c r="C91" s="970" t="s">
        <v>3191</v>
      </c>
      <c r="D91" s="1732">
        <f>AVERAGE(D78:D89)</f>
        <v>82.018611111111127</v>
      </c>
      <c r="E91" s="970">
        <f>SUM(E78:E89)</f>
        <v>136.185</v>
      </c>
      <c r="G91" s="1732">
        <f>AVERAGE(G78:G89)</f>
        <v>80.763691324107981</v>
      </c>
      <c r="H91" s="970">
        <f>SUM(H78:H89)</f>
        <v>190.97999999999996</v>
      </c>
      <c r="J91" s="1732">
        <f>AVERAGE(J78:J89)</f>
        <v>81.027272727272717</v>
      </c>
      <c r="K91" s="971">
        <f>SUM(K78:K89)</f>
        <v>187.20499999999998</v>
      </c>
      <c r="M91" s="1732">
        <f>AVERAGE(M78:M89)</f>
        <v>82.462698412698415</v>
      </c>
      <c r="N91" s="970">
        <f>SUM(N78:N89)</f>
        <v>152.96</v>
      </c>
      <c r="P91" s="1732">
        <f>AVERAGE(P78:P89)</f>
        <v>82.303495406203425</v>
      </c>
      <c r="Q91" s="970">
        <f>SUM(Q78:Q89)</f>
        <v>142.065</v>
      </c>
      <c r="S91" s="1732">
        <f>AVERAGE(S78:S89)</f>
        <v>81.136944444444438</v>
      </c>
      <c r="T91" s="970">
        <f>SUM(T78:T89)</f>
        <v>175.87000000000003</v>
      </c>
      <c r="V91" s="1732">
        <f>AVERAGE(V78:V89)</f>
        <v>79.991934865243678</v>
      </c>
      <c r="W91" s="970">
        <f>SUM(W78:W89)</f>
        <v>181.875</v>
      </c>
      <c r="Y91" s="1732">
        <f>AVERAGE(Y78:Y89)</f>
        <v>81.283333333333346</v>
      </c>
      <c r="Z91" s="970">
        <f>SUM(Z78:Z89)</f>
        <v>113.89</v>
      </c>
      <c r="AB91" s="970">
        <f>AVERAGE(AB78:AB89)</f>
        <v>80.8</v>
      </c>
      <c r="AC91" s="970">
        <f>SUM(AC78:AC89)</f>
        <v>121.48</v>
      </c>
    </row>
    <row r="92" spans="2:29" s="970" customFormat="1" ht="11"/>
    <row r="93" spans="2:29" s="970" customFormat="1" ht="11"/>
    <row r="94" spans="2:29" s="970" customFormat="1" ht="11">
      <c r="B94" s="970" t="s">
        <v>3183</v>
      </c>
      <c r="D94" s="970" t="s">
        <v>3179</v>
      </c>
      <c r="G94" s="970" t="s">
        <v>1254</v>
      </c>
      <c r="J94" s="970" t="s">
        <v>1253</v>
      </c>
    </row>
    <row r="95" spans="2:29" s="970" customFormat="1" ht="11">
      <c r="C95" s="970" t="s">
        <v>449</v>
      </c>
      <c r="D95" s="970" t="s">
        <v>755</v>
      </c>
      <c r="E95" s="970" t="s">
        <v>1250</v>
      </c>
      <c r="G95" s="970" t="s">
        <v>755</v>
      </c>
      <c r="H95" s="970" t="s">
        <v>1250</v>
      </c>
      <c r="J95" s="970" t="s">
        <v>755</v>
      </c>
      <c r="K95" s="970" t="s">
        <v>1250</v>
      </c>
    </row>
    <row r="96" spans="2:29" s="970" customFormat="1" ht="11">
      <c r="C96" s="970" t="s">
        <v>276</v>
      </c>
      <c r="D96" s="970">
        <v>81.900000000000006</v>
      </c>
      <c r="E96" s="1732">
        <v>7.8</v>
      </c>
      <c r="G96" s="970">
        <v>81.900000000000006</v>
      </c>
      <c r="H96" s="970">
        <v>8.24</v>
      </c>
      <c r="J96" s="970">
        <v>81.900000000000006</v>
      </c>
      <c r="K96" s="970">
        <v>9.11</v>
      </c>
    </row>
    <row r="97" spans="2:11" s="970" customFormat="1" ht="11">
      <c r="C97" s="970" t="s">
        <v>277</v>
      </c>
      <c r="D97" s="970">
        <v>82</v>
      </c>
      <c r="E97" s="1732">
        <v>4.22</v>
      </c>
      <c r="G97" s="970">
        <v>82</v>
      </c>
      <c r="H97" s="970">
        <v>7.62</v>
      </c>
      <c r="J97" s="970">
        <v>82</v>
      </c>
      <c r="K97" s="970">
        <v>7.51</v>
      </c>
    </row>
    <row r="98" spans="2:11" s="970" customFormat="1" ht="11">
      <c r="C98" s="970" t="s">
        <v>88</v>
      </c>
      <c r="D98" s="970">
        <v>82.2</v>
      </c>
      <c r="E98" s="1732">
        <v>8.6150000000000002</v>
      </c>
      <c r="G98" s="970">
        <v>82.2</v>
      </c>
      <c r="H98" s="970">
        <v>8.65</v>
      </c>
      <c r="J98" s="970">
        <v>82.2</v>
      </c>
      <c r="K98" s="970">
        <v>10.01</v>
      </c>
    </row>
    <row r="99" spans="2:11" s="970" customFormat="1" ht="11">
      <c r="C99" s="970" t="s">
        <v>89</v>
      </c>
      <c r="D99" s="970">
        <v>82.2</v>
      </c>
      <c r="E99" s="1732">
        <v>9.01</v>
      </c>
      <c r="G99" s="970">
        <v>82.2</v>
      </c>
      <c r="H99" s="970">
        <v>11.12</v>
      </c>
      <c r="J99" s="970">
        <v>82.2</v>
      </c>
      <c r="K99" s="970">
        <v>13.65</v>
      </c>
    </row>
    <row r="100" spans="2:11" s="970" customFormat="1" ht="11">
      <c r="C100" s="970" t="s">
        <v>39</v>
      </c>
      <c r="D100" s="970">
        <v>82.4</v>
      </c>
      <c r="E100" s="1732">
        <v>9.86</v>
      </c>
      <c r="G100" s="970">
        <v>82.4</v>
      </c>
      <c r="H100" s="970">
        <v>10.71</v>
      </c>
      <c r="J100" s="970">
        <v>82.4</v>
      </c>
      <c r="K100" s="970">
        <v>12.38</v>
      </c>
    </row>
    <row r="101" spans="2:11" s="970" customFormat="1" ht="11">
      <c r="C101" s="970" t="s">
        <v>90</v>
      </c>
      <c r="D101" s="970">
        <v>82.2</v>
      </c>
      <c r="E101" s="1732">
        <v>9.1999999999999993</v>
      </c>
      <c r="G101" s="970">
        <v>82.2</v>
      </c>
      <c r="H101" s="970">
        <v>11.1</v>
      </c>
      <c r="J101" s="970">
        <v>82.2</v>
      </c>
      <c r="K101" s="970">
        <v>11.45</v>
      </c>
    </row>
    <row r="102" spans="2:11" s="970" customFormat="1" ht="11">
      <c r="C102" s="970" t="s">
        <v>91</v>
      </c>
      <c r="D102" s="970">
        <v>82.4</v>
      </c>
      <c r="E102" s="1732">
        <v>8.9</v>
      </c>
      <c r="G102" s="970">
        <v>82.4</v>
      </c>
      <c r="H102" s="970">
        <v>10.96</v>
      </c>
      <c r="J102" s="970">
        <v>82.4</v>
      </c>
      <c r="K102" s="970">
        <v>11.34</v>
      </c>
    </row>
    <row r="103" spans="2:11" s="970" customFormat="1" ht="11">
      <c r="C103" s="970" t="s">
        <v>92</v>
      </c>
      <c r="D103" s="970">
        <v>82.5</v>
      </c>
      <c r="E103" s="1732">
        <v>7.4</v>
      </c>
      <c r="G103" s="970">
        <v>82.5</v>
      </c>
      <c r="H103" s="970">
        <v>11.18</v>
      </c>
      <c r="J103" s="970">
        <v>82.5</v>
      </c>
      <c r="K103" s="970">
        <v>11.3</v>
      </c>
    </row>
    <row r="104" spans="2:11" s="970" customFormat="1" ht="11">
      <c r="C104" s="970" t="s">
        <v>93</v>
      </c>
      <c r="D104" s="970">
        <v>82.6</v>
      </c>
      <c r="E104" s="1732">
        <v>7.22</v>
      </c>
      <c r="G104" s="970">
        <v>82.6</v>
      </c>
      <c r="H104" s="970">
        <v>12.6</v>
      </c>
      <c r="J104" s="970">
        <v>82.6</v>
      </c>
      <c r="K104" s="970">
        <v>11.59</v>
      </c>
    </row>
    <row r="105" spans="2:11" s="970" customFormat="1" ht="11">
      <c r="C105" s="970" t="s">
        <v>94</v>
      </c>
      <c r="D105" s="970">
        <v>82.5</v>
      </c>
      <c r="E105" s="1732">
        <v>10.475000000000001</v>
      </c>
      <c r="G105" s="970">
        <v>82.5</v>
      </c>
      <c r="H105" s="970">
        <v>13.79</v>
      </c>
      <c r="J105" s="970">
        <v>82.5</v>
      </c>
      <c r="K105" s="970">
        <v>11.63</v>
      </c>
    </row>
    <row r="106" spans="2:11" s="970" customFormat="1" ht="11">
      <c r="C106" s="970" t="s">
        <v>95</v>
      </c>
      <c r="D106" s="970">
        <v>82.3</v>
      </c>
      <c r="E106" s="1732">
        <v>10.25</v>
      </c>
      <c r="G106" s="970">
        <v>82.3</v>
      </c>
      <c r="H106" s="970">
        <v>13.41</v>
      </c>
      <c r="J106" s="970">
        <v>82.3</v>
      </c>
      <c r="K106" s="970">
        <v>10.24</v>
      </c>
    </row>
    <row r="107" spans="2:11" s="970" customFormat="1" ht="11">
      <c r="C107" s="970" t="s">
        <v>96</v>
      </c>
      <c r="D107" s="970">
        <v>82.2</v>
      </c>
      <c r="E107" s="1732">
        <v>8.81</v>
      </c>
      <c r="G107" s="970">
        <v>82.2</v>
      </c>
      <c r="H107" s="970">
        <v>11.88</v>
      </c>
      <c r="J107" s="970">
        <v>82.2</v>
      </c>
      <c r="K107" s="970">
        <v>13.67</v>
      </c>
    </row>
    <row r="108" spans="2:11" s="970" customFormat="1" ht="11"/>
    <row r="109" spans="2:11" s="970" customFormat="1" ht="11">
      <c r="C109" s="970" t="s">
        <v>3191</v>
      </c>
      <c r="D109" s="1732">
        <f>AVERAGE(D96:D107)</f>
        <v>82.283333333333346</v>
      </c>
      <c r="E109" s="970">
        <f>SUM(E96:E107)</f>
        <v>101.75999999999999</v>
      </c>
      <c r="G109" s="1732">
        <f>AVERAGE(G96:G107)</f>
        <v>82.283333333333346</v>
      </c>
      <c r="H109" s="970">
        <f>SUM(H96:H107)</f>
        <v>131.26</v>
      </c>
      <c r="J109" s="1732">
        <f>AVERAGE(J96:J107)</f>
        <v>82.283333333333346</v>
      </c>
      <c r="K109" s="970">
        <f>SUM(K96:K107)</f>
        <v>133.88</v>
      </c>
    </row>
    <row r="110" spans="2:11" s="970" customFormat="1" ht="11"/>
    <row r="111" spans="2:11" s="970" customFormat="1" ht="11"/>
    <row r="112" spans="2:11" s="970" customFormat="1" ht="11">
      <c r="B112" s="970" t="s">
        <v>691</v>
      </c>
      <c r="D112" s="970" t="s">
        <v>1251</v>
      </c>
      <c r="G112" s="970" t="s">
        <v>1252</v>
      </c>
    </row>
    <row r="113" spans="3:8" s="970" customFormat="1" ht="11">
      <c r="C113" s="970" t="s">
        <v>449</v>
      </c>
      <c r="D113" s="970" t="s">
        <v>755</v>
      </c>
      <c r="E113" s="970" t="s">
        <v>1250</v>
      </c>
      <c r="G113" s="970" t="s">
        <v>755</v>
      </c>
      <c r="H113" s="970" t="s">
        <v>1250</v>
      </c>
    </row>
    <row r="114" spans="3:8" s="970" customFormat="1" ht="11">
      <c r="C114" s="970" t="s">
        <v>276</v>
      </c>
      <c r="D114" s="1732">
        <v>75.740000000000009</v>
      </c>
      <c r="E114" s="970">
        <v>23.14</v>
      </c>
      <c r="G114" s="970">
        <v>83</v>
      </c>
      <c r="H114" s="970">
        <v>15.25</v>
      </c>
    </row>
    <row r="115" spans="3:8" s="970" customFormat="1" ht="11">
      <c r="C115" s="970" t="s">
        <v>277</v>
      </c>
      <c r="D115" s="1732">
        <v>76.099999999999994</v>
      </c>
      <c r="E115" s="970">
        <v>20.66</v>
      </c>
      <c r="G115" s="970">
        <v>83.2</v>
      </c>
      <c r="H115" s="970">
        <v>13.7</v>
      </c>
    </row>
    <row r="116" spans="3:8" s="970" customFormat="1" ht="11">
      <c r="C116" s="970" t="s">
        <v>88</v>
      </c>
      <c r="D116" s="1732">
        <v>75.02</v>
      </c>
      <c r="E116" s="970">
        <v>17.23</v>
      </c>
      <c r="G116" s="970">
        <v>83.3</v>
      </c>
      <c r="H116" s="970">
        <v>10.95</v>
      </c>
    </row>
    <row r="117" spans="3:8" s="970" customFormat="1" ht="11">
      <c r="C117" s="970" t="s">
        <v>89</v>
      </c>
      <c r="D117" s="1732">
        <v>75.38</v>
      </c>
      <c r="E117" s="970">
        <v>18.05</v>
      </c>
      <c r="G117" s="970">
        <v>83</v>
      </c>
      <c r="H117" s="970">
        <v>11.27</v>
      </c>
    </row>
    <row r="118" spans="3:8" s="970" customFormat="1" ht="11">
      <c r="C118" s="970" t="s">
        <v>39</v>
      </c>
      <c r="D118" s="1732">
        <v>75.02</v>
      </c>
      <c r="E118" s="970">
        <v>19.46</v>
      </c>
      <c r="G118" s="970">
        <v>82.2</v>
      </c>
      <c r="H118" s="970">
        <v>11.73</v>
      </c>
    </row>
    <row r="119" spans="3:8" s="970" customFormat="1" ht="11">
      <c r="C119" s="970" t="s">
        <v>90</v>
      </c>
      <c r="D119" s="1732">
        <v>73.94</v>
      </c>
      <c r="E119" s="970">
        <v>14.23</v>
      </c>
      <c r="G119" s="970">
        <v>81.5</v>
      </c>
      <c r="H119" s="970">
        <v>6.37</v>
      </c>
    </row>
    <row r="120" spans="3:8" s="970" customFormat="1" ht="11">
      <c r="C120" s="970" t="s">
        <v>91</v>
      </c>
      <c r="D120" s="1732">
        <v>74.84</v>
      </c>
      <c r="E120" s="970">
        <v>14.31</v>
      </c>
      <c r="G120" s="970">
        <v>80.900000000000006</v>
      </c>
      <c r="H120" s="970">
        <v>7.51</v>
      </c>
    </row>
    <row r="121" spans="3:8" s="970" customFormat="1" ht="11">
      <c r="C121" s="970" t="s">
        <v>92</v>
      </c>
      <c r="D121" s="1732">
        <v>74.12</v>
      </c>
      <c r="E121" s="970">
        <v>15.62</v>
      </c>
      <c r="G121" s="970">
        <v>80.900000000000006</v>
      </c>
      <c r="H121" s="970">
        <v>6.93</v>
      </c>
    </row>
    <row r="122" spans="3:8" s="970" customFormat="1" ht="11">
      <c r="C122" s="970" t="s">
        <v>93</v>
      </c>
      <c r="D122" s="1732">
        <v>73.58</v>
      </c>
      <c r="E122" s="970">
        <v>16.71</v>
      </c>
      <c r="G122" s="970">
        <v>81.599999999999994</v>
      </c>
      <c r="H122" s="970">
        <v>7.99</v>
      </c>
    </row>
    <row r="123" spans="3:8" s="970" customFormat="1" ht="11">
      <c r="C123" s="970" t="s">
        <v>94</v>
      </c>
      <c r="D123" s="1732">
        <v>73.759999999999991</v>
      </c>
      <c r="E123" s="970">
        <v>20.04</v>
      </c>
      <c r="G123" s="970">
        <v>82.1</v>
      </c>
      <c r="H123" s="970">
        <v>10.24</v>
      </c>
    </row>
    <row r="124" spans="3:8" s="970" customFormat="1" ht="11">
      <c r="C124" s="970" t="s">
        <v>95</v>
      </c>
      <c r="D124" s="1732">
        <v>74.66</v>
      </c>
      <c r="E124" s="970">
        <v>21.67</v>
      </c>
      <c r="G124" s="970">
        <v>82.5</v>
      </c>
      <c r="H124" s="970">
        <v>12.05</v>
      </c>
    </row>
    <row r="125" spans="3:8" s="970" customFormat="1" ht="11">
      <c r="C125" s="970" t="s">
        <v>96</v>
      </c>
      <c r="D125" s="1732">
        <v>76.099999999999994</v>
      </c>
      <c r="E125" s="970">
        <v>22.63</v>
      </c>
      <c r="G125" s="970">
        <v>82.9</v>
      </c>
      <c r="H125" s="970">
        <v>14.35</v>
      </c>
    </row>
    <row r="126" spans="3:8" s="970" customFormat="1" ht="11"/>
    <row r="127" spans="3:8" s="970" customFormat="1" ht="11">
      <c r="C127" s="970" t="s">
        <v>3191</v>
      </c>
      <c r="D127" s="1732">
        <f>AVERAGE(D114:D125)</f>
        <v>74.855000000000004</v>
      </c>
      <c r="E127" s="970">
        <f>SUM(E114:E125)</f>
        <v>223.75</v>
      </c>
      <c r="G127" s="1732">
        <f>AVERAGE(G114:G125)</f>
        <v>82.25833333333334</v>
      </c>
      <c r="H127" s="970">
        <f>SUM(H114:H125)</f>
        <v>128.34</v>
      </c>
    </row>
    <row r="128" spans="3:8" s="970" customFormat="1" ht="11"/>
    <row r="129" spans="2:2" s="970" customFormat="1" ht="11"/>
    <row r="130" spans="2:2">
      <c r="B130" s="967"/>
    </row>
    <row r="131" spans="2:2">
      <c r="B131" s="967"/>
    </row>
    <row r="132" spans="2:2">
      <c r="B132" s="967"/>
    </row>
    <row r="133" spans="2:2">
      <c r="B133" s="967"/>
    </row>
    <row r="134" spans="2:2">
      <c r="B134" s="967"/>
    </row>
    <row r="135" spans="2:2">
      <c r="B135" s="967"/>
    </row>
    <row r="136" spans="2:2">
      <c r="B136" s="967"/>
    </row>
    <row r="137" spans="2:2">
      <c r="B137" s="967"/>
    </row>
    <row r="138" spans="2:2">
      <c r="B138" s="967"/>
    </row>
    <row r="139" spans="2:2">
      <c r="B139" s="967"/>
    </row>
    <row r="140" spans="2:2">
      <c r="B140" s="967"/>
    </row>
    <row r="141" spans="2:2">
      <c r="B141" s="967"/>
    </row>
    <row r="142" spans="2:2">
      <c r="B142" s="967"/>
    </row>
    <row r="143" spans="2:2">
      <c r="B143" s="967"/>
    </row>
    <row r="144" spans="2:2">
      <c r="B144" s="967"/>
    </row>
    <row r="145" spans="2:2">
      <c r="B145" s="967"/>
    </row>
    <row r="146" spans="2:2">
      <c r="B146" s="967"/>
    </row>
    <row r="147" spans="2:2">
      <c r="B147" s="967"/>
    </row>
    <row r="148" spans="2:2">
      <c r="B148" s="967"/>
    </row>
    <row r="149" spans="2:2">
      <c r="B149" s="967"/>
    </row>
    <row r="150" spans="2:2">
      <c r="B150" s="967"/>
    </row>
    <row r="151" spans="2:2">
      <c r="B151" s="967"/>
    </row>
    <row r="152" spans="2:2">
      <c r="B152" s="967"/>
    </row>
    <row r="153" spans="2:2">
      <c r="B153" s="967"/>
    </row>
    <row r="154" spans="2:2">
      <c r="B154" s="967"/>
    </row>
    <row r="155" spans="2:2">
      <c r="B155" s="967"/>
    </row>
    <row r="156" spans="2:2">
      <c r="B156" s="967"/>
    </row>
    <row r="157" spans="2:2">
      <c r="B157" s="967"/>
    </row>
    <row r="158" spans="2:2">
      <c r="B158" s="967"/>
    </row>
    <row r="159" spans="2:2">
      <c r="B159" s="967"/>
    </row>
    <row r="160" spans="2:2">
      <c r="B160" s="967"/>
    </row>
    <row r="161" spans="2:2">
      <c r="B161" s="967"/>
    </row>
    <row r="162" spans="2:2">
      <c r="B162" s="967"/>
    </row>
    <row r="163" spans="2:2">
      <c r="B163" s="967"/>
    </row>
    <row r="164" spans="2:2">
      <c r="B164" s="967"/>
    </row>
    <row r="165" spans="2:2">
      <c r="B165" s="967"/>
    </row>
    <row r="166" spans="2:2">
      <c r="B166" s="967"/>
    </row>
    <row r="167" spans="2:2">
      <c r="B167" s="967"/>
    </row>
    <row r="168" spans="2:2">
      <c r="B168" s="967"/>
    </row>
    <row r="169" spans="2:2">
      <c r="B169" s="967"/>
    </row>
    <row r="170" spans="2:2">
      <c r="B170" s="967"/>
    </row>
    <row r="171" spans="2:2">
      <c r="B171" s="967"/>
    </row>
    <row r="172" spans="2:2">
      <c r="B172" s="967"/>
    </row>
    <row r="173" spans="2:2">
      <c r="B173" s="967"/>
    </row>
    <row r="174" spans="2:2">
      <c r="B174" s="967"/>
    </row>
    <row r="175" spans="2:2">
      <c r="B175" s="967"/>
    </row>
    <row r="176" spans="2:2">
      <c r="B176" s="967"/>
    </row>
    <row r="177" spans="2:2">
      <c r="B177" s="967"/>
    </row>
    <row r="178" spans="2:2">
      <c r="B178" s="967"/>
    </row>
    <row r="179" spans="2:2">
      <c r="B179" s="967"/>
    </row>
    <row r="180" spans="2:2">
      <c r="B180" s="967"/>
    </row>
    <row r="181" spans="2:2">
      <c r="B181" s="967"/>
    </row>
    <row r="182" spans="2:2">
      <c r="B182" s="967"/>
    </row>
    <row r="183" spans="2:2">
      <c r="B183" s="967"/>
    </row>
    <row r="184" spans="2:2">
      <c r="B184" s="967"/>
    </row>
    <row r="185" spans="2:2">
      <c r="B185" s="967"/>
    </row>
    <row r="186" spans="2:2">
      <c r="B186" s="967"/>
    </row>
    <row r="187" spans="2:2">
      <c r="B187" s="967"/>
    </row>
    <row r="188" spans="2:2">
      <c r="B188" s="967"/>
    </row>
    <row r="189" spans="2:2">
      <c r="B189" s="967"/>
    </row>
    <row r="190" spans="2:2">
      <c r="B190" s="967"/>
    </row>
    <row r="191" spans="2:2">
      <c r="B191" s="967"/>
    </row>
    <row r="192" spans="2:2">
      <c r="B192" s="967"/>
    </row>
    <row r="193" spans="2:2">
      <c r="B193" s="967"/>
    </row>
    <row r="194" spans="2:2">
      <c r="B194" s="967"/>
    </row>
    <row r="195" spans="2:2">
      <c r="B195" s="967"/>
    </row>
    <row r="196" spans="2:2">
      <c r="B196" s="967"/>
    </row>
    <row r="197" spans="2:2">
      <c r="B197" s="967"/>
    </row>
    <row r="198" spans="2:2">
      <c r="B198" s="967"/>
    </row>
    <row r="199" spans="2:2">
      <c r="B199" s="967"/>
    </row>
    <row r="200" spans="2:2">
      <c r="B200" s="967"/>
    </row>
    <row r="201" spans="2:2">
      <c r="B201" s="967"/>
    </row>
    <row r="202" spans="2:2">
      <c r="B202" s="967"/>
    </row>
    <row r="203" spans="2:2">
      <c r="B203" s="967"/>
    </row>
    <row r="204" spans="2:2">
      <c r="B204" s="967"/>
    </row>
    <row r="205" spans="2:2">
      <c r="B205" s="967"/>
    </row>
    <row r="206" spans="2:2">
      <c r="B206" s="967"/>
    </row>
    <row r="207" spans="2:2">
      <c r="B207" s="967"/>
    </row>
    <row r="208" spans="2:2">
      <c r="B208" s="967"/>
    </row>
    <row r="209" spans="2:2">
      <c r="B209" s="967"/>
    </row>
    <row r="210" spans="2:2">
      <c r="B210" s="967"/>
    </row>
    <row r="211" spans="2:2">
      <c r="B211" s="967"/>
    </row>
    <row r="212" spans="2:2">
      <c r="B212" s="967"/>
    </row>
    <row r="213" spans="2:2">
      <c r="B213" s="967"/>
    </row>
    <row r="214" spans="2:2">
      <c r="B214" s="967"/>
    </row>
    <row r="215" spans="2:2">
      <c r="B215" s="967"/>
    </row>
    <row r="216" spans="2:2">
      <c r="B216" s="967"/>
    </row>
    <row r="217" spans="2:2">
      <c r="B217" s="967"/>
    </row>
    <row r="218" spans="2:2">
      <c r="B218" s="967"/>
    </row>
    <row r="219" spans="2:2">
      <c r="B219" s="967"/>
    </row>
    <row r="220" spans="2:2">
      <c r="B220" s="967"/>
    </row>
    <row r="221" spans="2:2">
      <c r="B221" s="967"/>
    </row>
    <row r="222" spans="2:2">
      <c r="B222" s="967"/>
    </row>
    <row r="223" spans="2:2">
      <c r="B223" s="967"/>
    </row>
    <row r="224" spans="2:2">
      <c r="B224" s="967"/>
    </row>
    <row r="225" spans="2:2">
      <c r="B225" s="967"/>
    </row>
    <row r="226" spans="2:2">
      <c r="B226" s="967"/>
    </row>
    <row r="227" spans="2:2">
      <c r="B227" s="967"/>
    </row>
    <row r="228" spans="2:2">
      <c r="B228" s="967"/>
    </row>
  </sheetData>
  <mergeCells count="13">
    <mergeCell ref="C5:O5"/>
    <mergeCell ref="C6:O6"/>
    <mergeCell ref="C13:O13"/>
    <mergeCell ref="C14:O14"/>
    <mergeCell ref="C15:O15"/>
    <mergeCell ref="C16:O16"/>
    <mergeCell ref="C17:O17"/>
    <mergeCell ref="C12:O12"/>
    <mergeCell ref="C7:O7"/>
    <mergeCell ref="C8:O8"/>
    <mergeCell ref="C9:O9"/>
    <mergeCell ref="C10:O10"/>
    <mergeCell ref="C11:O11"/>
  </mergeCells>
  <hyperlinks>
    <hyperlink ref="C8" r:id="rId1" xr:uid="{8B80FC43-2F0A-4095-85A3-0DA90D96CEC5}"/>
    <hyperlink ref="O18" location="'2. Develop Forage Curve'!A1" display="BACK" xr:uid="{8265622B-678C-4E3C-BD40-413F7636EF4F}"/>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BB95D-6158-4067-B468-6DA5B5F5AB90}">
  <sheetPr codeName="Sheet18">
    <tabColor rgb="FFFFFF99"/>
  </sheetPr>
  <dimension ref="A1:AF128"/>
  <sheetViews>
    <sheetView tabSelected="1" topLeftCell="C28" zoomScale="110" zoomScaleNormal="86" workbookViewId="0">
      <selection activeCell="C46" sqref="C46:D46"/>
    </sheetView>
  </sheetViews>
  <sheetFormatPr baseColWidth="10" defaultColWidth="9" defaultRowHeight="15"/>
  <cols>
    <col min="1" max="2" width="4" style="1060" customWidth="1"/>
    <col min="3" max="18" width="10.83203125" style="1060" customWidth="1"/>
    <col min="19" max="19" width="4" style="1060" customWidth="1"/>
    <col min="20" max="23" width="10.83203125" style="1060" customWidth="1"/>
    <col min="24" max="32" width="8" style="1060" customWidth="1"/>
    <col min="33" max="16384" width="9" style="1060"/>
  </cols>
  <sheetData>
    <row r="1" spans="1:23" ht="29">
      <c r="A1" s="1170" t="s">
        <v>1317</v>
      </c>
      <c r="B1" s="1170"/>
    </row>
    <row r="2" spans="1:23" ht="12.75" customHeight="1"/>
    <row r="3" spans="1:23" ht="21" customHeight="1" thickBot="1">
      <c r="B3" s="1096" t="s">
        <v>1278</v>
      </c>
    </row>
    <row r="4" spans="1:23" ht="15" customHeight="1">
      <c r="B4" s="1090"/>
      <c r="C4" s="1151"/>
      <c r="D4" s="1151"/>
      <c r="E4" s="1151"/>
      <c r="F4" s="1151"/>
      <c r="G4" s="1151"/>
      <c r="H4" s="1151"/>
      <c r="I4" s="1151"/>
      <c r="J4" s="1088"/>
      <c r="K4" s="1153"/>
      <c r="L4" s="1153"/>
      <c r="M4" s="1153"/>
      <c r="N4" s="1153"/>
      <c r="O4" s="1153"/>
      <c r="P4" s="1153"/>
      <c r="Q4" s="1153"/>
      <c r="R4" s="1153"/>
      <c r="S4" s="1153"/>
      <c r="T4" s="1153"/>
    </row>
    <row r="5" spans="1:23" ht="15" customHeight="1">
      <c r="B5" s="1087"/>
      <c r="C5" s="1142"/>
      <c r="D5" s="1837" t="s">
        <v>1249</v>
      </c>
      <c r="E5" s="1838"/>
      <c r="F5" s="1838"/>
      <c r="G5" s="1839"/>
      <c r="H5" s="1142"/>
      <c r="I5" s="1142"/>
      <c r="J5" s="1082"/>
      <c r="K5" s="1153"/>
      <c r="L5" s="1153"/>
      <c r="M5" s="1153"/>
      <c r="N5" s="1153"/>
      <c r="O5" s="1153"/>
      <c r="P5" s="1153"/>
      <c r="Q5" s="1153"/>
      <c r="R5" s="1153"/>
      <c r="S5" s="1153"/>
      <c r="T5" s="1153"/>
    </row>
    <row r="6" spans="1:23" ht="15" customHeight="1">
      <c r="B6" s="1087"/>
      <c r="C6" s="1142"/>
      <c r="D6" s="1142"/>
      <c r="E6" s="1142"/>
      <c r="F6" s="1142"/>
      <c r="G6" s="1142"/>
      <c r="H6" s="1142"/>
      <c r="I6" s="1142"/>
      <c r="J6" s="1082"/>
      <c r="K6" s="1153"/>
      <c r="L6" s="1153"/>
      <c r="M6" s="1153"/>
      <c r="N6" s="1153"/>
      <c r="O6" s="1153"/>
      <c r="P6" s="1153"/>
      <c r="Q6" s="1153"/>
      <c r="R6" s="1153"/>
      <c r="S6" s="1153"/>
      <c r="T6" s="1153"/>
    </row>
    <row r="7" spans="1:23" ht="15" customHeight="1">
      <c r="B7" s="1087"/>
      <c r="C7" s="1169"/>
      <c r="D7" s="1827" t="s">
        <v>1316</v>
      </c>
      <c r="E7" s="1828"/>
      <c r="F7" s="1828"/>
      <c r="G7" s="1829"/>
      <c r="H7" s="1168"/>
      <c r="I7" s="1142"/>
      <c r="J7" s="1082"/>
      <c r="K7" s="1153"/>
      <c r="L7" s="1153"/>
      <c r="M7" s="1153"/>
      <c r="N7" s="1153"/>
      <c r="O7" s="1153"/>
      <c r="P7" s="1153"/>
      <c r="Q7" s="1153"/>
      <c r="R7" s="1153"/>
      <c r="S7" s="1153"/>
      <c r="T7" s="1153"/>
    </row>
    <row r="8" spans="1:23" ht="15" customHeight="1">
      <c r="B8" s="1087"/>
      <c r="C8" s="1142"/>
      <c r="D8" s="1142"/>
      <c r="E8" s="1142"/>
      <c r="F8" s="1142"/>
      <c r="G8" s="1142"/>
      <c r="H8" s="1142"/>
      <c r="I8" s="1142"/>
      <c r="J8" s="1082"/>
      <c r="K8" s="1153"/>
      <c r="L8" s="1153"/>
      <c r="M8" s="1153"/>
      <c r="N8" s="1153"/>
      <c r="O8" s="1153"/>
      <c r="P8" s="1153"/>
      <c r="Q8" s="1153"/>
      <c r="R8" s="1153"/>
      <c r="S8" s="1153"/>
      <c r="T8" s="1153"/>
    </row>
    <row r="9" spans="1:23" ht="15" customHeight="1">
      <c r="B9" s="1146"/>
      <c r="C9" s="1145"/>
      <c r="D9" s="1145"/>
      <c r="E9" s="1145"/>
      <c r="F9" s="1145"/>
      <c r="G9" s="1145"/>
      <c r="H9" s="1145"/>
      <c r="I9" s="1145"/>
      <c r="J9" s="1167"/>
      <c r="K9" s="1153"/>
      <c r="L9" s="1153"/>
      <c r="M9" s="1153"/>
      <c r="N9" s="1153"/>
      <c r="O9" s="1153"/>
      <c r="P9" s="1153"/>
      <c r="Q9" s="1153"/>
      <c r="R9" s="1153"/>
      <c r="S9" s="1153"/>
      <c r="T9" s="1153"/>
    </row>
    <row r="10" spans="1:23" ht="15" customHeight="1">
      <c r="B10" s="1087"/>
      <c r="C10" s="1142"/>
      <c r="D10" s="1853" t="s">
        <v>1315</v>
      </c>
      <c r="E10" s="1854"/>
      <c r="F10" s="1854"/>
      <c r="G10" s="1783"/>
      <c r="H10" s="1142"/>
      <c r="I10" s="1142"/>
      <c r="J10" s="1082"/>
      <c r="K10" s="1153"/>
      <c r="L10" s="1153"/>
      <c r="M10" s="1153"/>
      <c r="N10" s="1153"/>
      <c r="O10" s="1153"/>
      <c r="P10" s="1153"/>
      <c r="Q10" s="1153"/>
      <c r="R10" s="1153"/>
      <c r="S10" s="1153"/>
      <c r="T10" s="1153"/>
    </row>
    <row r="11" spans="1:23" ht="15" customHeight="1">
      <c r="B11" s="1087"/>
      <c r="C11" s="1142"/>
      <c r="D11" s="1823"/>
      <c r="E11" s="1824"/>
      <c r="F11" s="1824"/>
      <c r="G11" s="1825"/>
      <c r="H11" s="1142"/>
      <c r="I11" s="1142"/>
      <c r="J11" s="1082"/>
      <c r="K11" s="1153"/>
      <c r="L11" s="1153"/>
      <c r="M11" s="1153"/>
      <c r="N11" s="1153"/>
      <c r="O11" s="1153"/>
      <c r="P11" s="1153"/>
      <c r="Q11" s="1153"/>
      <c r="R11" s="1153"/>
      <c r="S11" s="1153"/>
      <c r="T11" s="1153"/>
    </row>
    <row r="12" spans="1:23" ht="15" customHeight="1">
      <c r="B12" s="1087"/>
      <c r="C12" s="1142"/>
      <c r="D12" s="1142"/>
      <c r="E12" s="1142"/>
      <c r="F12" s="1142"/>
      <c r="G12" s="1142"/>
      <c r="H12" s="1142"/>
      <c r="I12" s="1142"/>
      <c r="J12" s="1082"/>
      <c r="K12" s="1153"/>
      <c r="M12" s="1153"/>
      <c r="N12" s="1153"/>
      <c r="O12" s="1153"/>
      <c r="P12" s="1153"/>
      <c r="Q12" s="1153"/>
      <c r="R12" s="1153"/>
      <c r="S12" s="1153"/>
      <c r="T12" s="1153"/>
      <c r="U12" s="1150"/>
      <c r="V12" s="1150"/>
      <c r="W12" s="1150"/>
    </row>
    <row r="13" spans="1:23" ht="15" customHeight="1">
      <c r="B13" s="1087"/>
      <c r="C13" s="1149"/>
      <c r="D13" s="1166" t="s">
        <v>1314</v>
      </c>
      <c r="E13" s="1166" t="s">
        <v>826</v>
      </c>
      <c r="F13" s="1142"/>
      <c r="G13" s="1166" t="s">
        <v>1314</v>
      </c>
      <c r="H13" s="1166" t="s">
        <v>1248</v>
      </c>
      <c r="I13" s="1165"/>
      <c r="J13" s="1082"/>
      <c r="K13" s="1153"/>
      <c r="L13" s="1164" t="s">
        <v>1313</v>
      </c>
      <c r="S13" s="1153"/>
      <c r="T13" s="1153"/>
      <c r="U13" s="1150"/>
      <c r="V13" s="1150"/>
      <c r="W13" s="1150"/>
    </row>
    <row r="14" spans="1:23" ht="15" customHeight="1">
      <c r="B14" s="1087"/>
      <c r="C14" s="1163"/>
      <c r="D14" s="1159" t="s">
        <v>276</v>
      </c>
      <c r="E14" s="1158">
        <v>66.784868143959599</v>
      </c>
      <c r="F14" s="1160"/>
      <c r="G14" s="1159" t="s">
        <v>276</v>
      </c>
      <c r="H14" s="1685">
        <v>5.47057737608373</v>
      </c>
      <c r="I14" s="1157"/>
      <c r="J14" s="1082"/>
      <c r="K14" s="1153"/>
      <c r="O14" s="1152"/>
      <c r="P14" s="1156"/>
      <c r="R14" s="1152"/>
      <c r="S14" s="1153"/>
      <c r="T14" s="1153"/>
      <c r="U14" s="1150"/>
      <c r="V14" s="1150"/>
      <c r="W14" s="1150"/>
    </row>
    <row r="15" spans="1:23" ht="15" customHeight="1">
      <c r="B15" s="1087"/>
      <c r="C15" s="1149"/>
      <c r="D15" s="1159" t="s">
        <v>277</v>
      </c>
      <c r="E15" s="1158">
        <v>66.468070391520797</v>
      </c>
      <c r="F15" s="1160"/>
      <c r="G15" s="1159" t="s">
        <v>277</v>
      </c>
      <c r="H15" s="1685">
        <v>4.6383786755274503</v>
      </c>
      <c r="I15" s="1157"/>
      <c r="J15" s="1082"/>
      <c r="K15" s="1162"/>
      <c r="O15" s="1152"/>
      <c r="P15" s="1156"/>
      <c r="R15" s="1152"/>
      <c r="S15" s="1162"/>
      <c r="T15" s="1162"/>
      <c r="U15" s="1161"/>
      <c r="V15" s="1161"/>
      <c r="W15" s="1161"/>
    </row>
    <row r="16" spans="1:23" ht="15" customHeight="1">
      <c r="B16" s="1087"/>
      <c r="C16" s="1149"/>
      <c r="D16" s="1159" t="s">
        <v>88</v>
      </c>
      <c r="E16" s="1158">
        <v>67.077458402421598</v>
      </c>
      <c r="F16" s="1160"/>
      <c r="G16" s="1159" t="s">
        <v>88</v>
      </c>
      <c r="H16" s="1685">
        <v>6.1689062769657301</v>
      </c>
      <c r="I16" s="1157"/>
      <c r="J16" s="1082"/>
      <c r="K16" s="1153"/>
      <c r="O16" s="1152"/>
      <c r="P16" s="1156"/>
      <c r="R16" s="1152"/>
      <c r="S16" s="1153"/>
      <c r="T16" s="1153"/>
      <c r="U16" s="1150"/>
      <c r="V16" s="1150"/>
      <c r="W16" s="1150"/>
    </row>
    <row r="17" spans="2:23" ht="15" customHeight="1">
      <c r="B17" s="1087"/>
      <c r="C17" s="1149"/>
      <c r="D17" s="1159" t="s">
        <v>89</v>
      </c>
      <c r="E17" s="1158">
        <v>68.113705654714096</v>
      </c>
      <c r="F17" s="1160"/>
      <c r="G17" s="1159" t="s">
        <v>89</v>
      </c>
      <c r="H17" s="1685">
        <v>5.1910268356171096</v>
      </c>
      <c r="I17" s="1157"/>
      <c r="J17" s="1082"/>
      <c r="K17" s="1153"/>
      <c r="O17" s="1152"/>
      <c r="P17" s="1156"/>
      <c r="R17" s="1152"/>
      <c r="S17" s="1153"/>
      <c r="T17" s="1153"/>
      <c r="U17" s="1150"/>
      <c r="V17" s="1150"/>
      <c r="W17" s="1150"/>
    </row>
    <row r="18" spans="2:23" ht="15" customHeight="1">
      <c r="B18" s="1087"/>
      <c r="C18" s="1149"/>
      <c r="D18" s="1159" t="s">
        <v>39</v>
      </c>
      <c r="E18" s="1158">
        <v>69.546512753595593</v>
      </c>
      <c r="F18" s="1160"/>
      <c r="G18" s="1159" t="s">
        <v>39</v>
      </c>
      <c r="H18" s="1685">
        <v>3.2812551005749402</v>
      </c>
      <c r="I18" s="1157"/>
      <c r="J18" s="1082"/>
      <c r="K18" s="1153"/>
      <c r="O18" s="1152"/>
      <c r="P18" s="1156"/>
      <c r="R18" s="1152"/>
      <c r="S18" s="1153"/>
      <c r="T18" s="1153"/>
      <c r="U18" s="1150"/>
      <c r="V18" s="1150"/>
      <c r="W18" s="1150"/>
    </row>
    <row r="19" spans="2:23" ht="15" customHeight="1">
      <c r="B19" s="1087"/>
      <c r="C19" s="1149"/>
      <c r="D19" s="1159" t="s">
        <v>90</v>
      </c>
      <c r="E19" s="1158">
        <v>70.685482095356903</v>
      </c>
      <c r="F19" s="1160"/>
      <c r="G19" s="1159" t="s">
        <v>90</v>
      </c>
      <c r="H19" s="1685">
        <v>2.66574762532625</v>
      </c>
      <c r="I19" s="1157"/>
      <c r="J19" s="1082"/>
      <c r="K19" s="1153"/>
      <c r="O19" s="1152"/>
      <c r="P19" s="1156"/>
      <c r="R19" s="1152"/>
      <c r="S19" s="1153"/>
      <c r="T19" s="1153"/>
      <c r="U19" s="1150"/>
      <c r="V19" s="1150"/>
      <c r="W19" s="1150"/>
    </row>
    <row r="20" spans="2:23" ht="15" customHeight="1">
      <c r="B20" s="1087"/>
      <c r="C20" s="1149"/>
      <c r="D20" s="1159" t="s">
        <v>91</v>
      </c>
      <c r="E20" s="1158">
        <v>71.728626410601905</v>
      </c>
      <c r="F20" s="1160"/>
      <c r="G20" s="1159" t="s">
        <v>91</v>
      </c>
      <c r="H20" s="1685">
        <v>2.9727651086087001</v>
      </c>
      <c r="I20" s="1157"/>
      <c r="J20" s="1082"/>
      <c r="K20" s="1153"/>
      <c r="O20" s="1152"/>
      <c r="P20" s="1156"/>
      <c r="R20" s="1152"/>
      <c r="S20" s="1153"/>
      <c r="T20" s="1153"/>
      <c r="U20" s="1150"/>
      <c r="V20" s="1150"/>
      <c r="W20" s="1150"/>
    </row>
    <row r="21" spans="2:23" ht="15" customHeight="1">
      <c r="B21" s="1087"/>
      <c r="C21" s="1149"/>
      <c r="D21" s="1159" t="s">
        <v>92</v>
      </c>
      <c r="E21" s="1158">
        <v>72.299799041621696</v>
      </c>
      <c r="F21" s="1160"/>
      <c r="G21" s="1159" t="s">
        <v>92</v>
      </c>
      <c r="H21" s="1685">
        <v>2.8152443516572201</v>
      </c>
      <c r="I21" s="1157"/>
      <c r="J21" s="1082"/>
      <c r="K21" s="1153"/>
      <c r="O21" s="1152"/>
      <c r="P21" s="1156"/>
      <c r="R21" s="1152"/>
      <c r="S21" s="1153"/>
      <c r="T21" s="1153"/>
      <c r="U21" s="1150"/>
      <c r="V21" s="1150"/>
      <c r="W21" s="1150"/>
    </row>
    <row r="22" spans="2:23" ht="15" customHeight="1">
      <c r="B22" s="1087"/>
      <c r="C22" s="1149"/>
      <c r="D22" s="1159" t="s">
        <v>93</v>
      </c>
      <c r="E22" s="1158">
        <v>72.047562554001004</v>
      </c>
      <c r="F22" s="1160"/>
      <c r="G22" s="1159" t="s">
        <v>93</v>
      </c>
      <c r="H22" s="1685">
        <v>1.84959285920765</v>
      </c>
      <c r="I22" s="1157"/>
      <c r="J22" s="1082"/>
      <c r="K22" s="1153"/>
      <c r="O22" s="1152"/>
      <c r="P22" s="1156"/>
      <c r="R22" s="1152"/>
      <c r="S22" s="1153"/>
      <c r="T22" s="1153"/>
      <c r="U22" s="1150"/>
      <c r="V22" s="1150"/>
      <c r="W22" s="1150"/>
    </row>
    <row r="23" spans="2:23" ht="15" customHeight="1">
      <c r="B23" s="1087"/>
      <c r="C23" s="1149"/>
      <c r="D23" s="1159" t="s">
        <v>94</v>
      </c>
      <c r="E23" s="1158">
        <v>71.442068553149198</v>
      </c>
      <c r="F23" s="1160"/>
      <c r="G23" s="1159" t="s">
        <v>94</v>
      </c>
      <c r="H23" s="1685">
        <v>2.5678365343405298</v>
      </c>
      <c r="I23" s="1157"/>
      <c r="J23" s="1082"/>
      <c r="K23" s="1153"/>
      <c r="O23" s="1152"/>
      <c r="P23" s="1156"/>
      <c r="R23" s="1152"/>
      <c r="S23" s="1153"/>
      <c r="T23" s="1153"/>
      <c r="U23" s="1150"/>
      <c r="V23" s="1150"/>
      <c r="W23" s="1150"/>
    </row>
    <row r="24" spans="2:23" ht="15" customHeight="1">
      <c r="B24" s="1087"/>
      <c r="C24" s="1149"/>
      <c r="D24" s="1159" t="s">
        <v>95</v>
      </c>
      <c r="E24" s="1158">
        <v>69.865493475437304</v>
      </c>
      <c r="F24" s="1160"/>
      <c r="G24" s="1159" t="s">
        <v>95</v>
      </c>
      <c r="H24" s="1685">
        <v>4.0797823019428199</v>
      </c>
      <c r="I24" s="1157"/>
      <c r="J24" s="1082"/>
      <c r="K24" s="1153"/>
      <c r="O24" s="1152"/>
      <c r="P24" s="1156"/>
      <c r="R24" s="1152"/>
      <c r="S24" s="1153"/>
      <c r="T24" s="1153"/>
      <c r="U24" s="1150"/>
      <c r="V24" s="1150"/>
      <c r="W24" s="1150"/>
    </row>
    <row r="25" spans="2:23" ht="15" customHeight="1">
      <c r="B25" s="1087"/>
      <c r="C25" s="1149"/>
      <c r="D25" s="1159" t="s">
        <v>96</v>
      </c>
      <c r="E25" s="1158">
        <v>67.906409179490595</v>
      </c>
      <c r="F25" s="1160"/>
      <c r="G25" s="1159" t="s">
        <v>96</v>
      </c>
      <c r="H25" s="1685">
        <v>5.6909820801650497</v>
      </c>
      <c r="I25" s="1157"/>
      <c r="J25" s="1082"/>
      <c r="K25" s="1153"/>
      <c r="O25" s="1152"/>
      <c r="P25" s="1156"/>
      <c r="R25" s="1152"/>
      <c r="S25" s="1153"/>
      <c r="T25" s="1153"/>
      <c r="U25" s="1150"/>
      <c r="V25" s="1150"/>
      <c r="W25" s="1150"/>
    </row>
    <row r="26" spans="2:23" ht="15" customHeight="1" thickBot="1">
      <c r="B26" s="1093"/>
      <c r="C26" s="1155"/>
      <c r="D26" s="1155"/>
      <c r="E26" s="1154"/>
      <c r="F26" s="1155"/>
      <c r="G26" s="1155"/>
      <c r="H26" s="1155"/>
      <c r="I26" s="1154"/>
      <c r="J26" s="1091"/>
      <c r="K26" s="1153"/>
      <c r="L26" s="1153"/>
      <c r="N26" s="1153"/>
      <c r="O26" s="1153"/>
      <c r="Q26" s="1153"/>
      <c r="S26" s="1153"/>
      <c r="T26" s="1153"/>
      <c r="U26" s="1150"/>
      <c r="V26" s="1150"/>
      <c r="W26" s="1150"/>
    </row>
    <row r="27" spans="2:23" ht="15" customHeight="1">
      <c r="K27" s="1152"/>
      <c r="P27" s="1153"/>
      <c r="R27" s="1152"/>
    </row>
    <row r="28" spans="2:23" ht="15" customHeight="1">
      <c r="K28" s="1152"/>
    </row>
    <row r="29" spans="2:23" s="1096" customFormat="1" ht="22" thickBot="1">
      <c r="B29" s="1096" t="s">
        <v>1279</v>
      </c>
    </row>
    <row r="30" spans="2:23">
      <c r="B30" s="1090"/>
      <c r="C30" s="1151"/>
      <c r="D30" s="1151"/>
      <c r="E30" s="1151"/>
      <c r="F30" s="1151"/>
      <c r="G30" s="1151"/>
      <c r="H30" s="1151"/>
      <c r="I30" s="1151"/>
      <c r="J30" s="1088"/>
    </row>
    <row r="31" spans="2:23" ht="15" customHeight="1">
      <c r="B31" s="1087"/>
      <c r="C31" s="1840" t="s">
        <v>1241</v>
      </c>
      <c r="D31" s="1841"/>
      <c r="E31" s="1844" t="s">
        <v>1247</v>
      </c>
      <c r="F31" s="1845"/>
      <c r="G31" s="1845"/>
      <c r="H31" s="1845"/>
      <c r="I31" s="1846"/>
      <c r="J31" s="1082"/>
      <c r="K31" s="1150"/>
      <c r="L31" s="1150"/>
      <c r="M31" s="1150"/>
      <c r="N31" s="1150"/>
      <c r="O31" s="1150"/>
      <c r="P31" s="1150"/>
      <c r="Q31" s="1150"/>
      <c r="R31" s="1150"/>
      <c r="S31" s="1150"/>
      <c r="T31" s="1150"/>
      <c r="U31" s="1150"/>
      <c r="V31" s="1150"/>
      <c r="W31" s="1150"/>
    </row>
    <row r="32" spans="2:23" ht="15" customHeight="1">
      <c r="B32" s="1087"/>
      <c r="C32" s="1149"/>
      <c r="D32" s="1149"/>
      <c r="E32" s="1847"/>
      <c r="F32" s="1848"/>
      <c r="G32" s="1848"/>
      <c r="H32" s="1848"/>
      <c r="I32" s="1849"/>
      <c r="J32" s="1082"/>
      <c r="K32" s="1150"/>
      <c r="L32" s="1150"/>
      <c r="M32" s="1150"/>
      <c r="N32" s="1150"/>
      <c r="O32" s="1150"/>
      <c r="P32" s="1150"/>
      <c r="Q32" s="1150"/>
      <c r="R32" s="1150"/>
      <c r="S32" s="1150"/>
      <c r="T32" s="1150"/>
      <c r="U32" s="1150"/>
      <c r="V32" s="1150"/>
      <c r="W32" s="1150"/>
    </row>
    <row r="33" spans="2:23" ht="15" customHeight="1">
      <c r="B33" s="1087"/>
      <c r="C33" s="1149"/>
      <c r="D33" s="1149"/>
      <c r="E33" s="1850"/>
      <c r="F33" s="1851"/>
      <c r="G33" s="1851"/>
      <c r="H33" s="1851"/>
      <c r="I33" s="1852"/>
      <c r="J33" s="1082"/>
      <c r="K33" s="1150"/>
      <c r="L33" s="1150"/>
      <c r="M33" s="1150"/>
      <c r="N33" s="1150"/>
      <c r="O33" s="1150"/>
      <c r="P33" s="1150"/>
      <c r="Q33" s="1150"/>
      <c r="R33" s="1150"/>
      <c r="S33" s="1150"/>
      <c r="T33" s="1150"/>
      <c r="U33" s="1150"/>
      <c r="V33" s="1150"/>
      <c r="W33" s="1150"/>
    </row>
    <row r="34" spans="2:23" ht="15" customHeight="1">
      <c r="B34" s="1087"/>
      <c r="C34" s="1149"/>
      <c r="D34" s="1149"/>
      <c r="E34" s="1142"/>
      <c r="F34" s="1142"/>
      <c r="G34" s="1142"/>
      <c r="H34" s="1142"/>
      <c r="I34" s="1142"/>
      <c r="J34" s="1082"/>
      <c r="K34" s="1150"/>
      <c r="L34" s="1150"/>
      <c r="M34" s="1150"/>
      <c r="N34" s="1150"/>
      <c r="O34" s="1150"/>
      <c r="P34" s="1150"/>
      <c r="Q34" s="1150"/>
      <c r="R34" s="1150"/>
      <c r="S34" s="1150"/>
      <c r="T34" s="1150"/>
      <c r="U34" s="1150"/>
      <c r="V34" s="1150"/>
      <c r="W34" s="1150"/>
    </row>
    <row r="35" spans="2:23" ht="15" customHeight="1">
      <c r="B35" s="1087"/>
      <c r="C35" s="1149"/>
      <c r="D35" s="1149"/>
      <c r="E35" s="1142"/>
      <c r="F35" s="1142"/>
      <c r="G35" s="1142"/>
      <c r="H35" s="1142"/>
      <c r="I35" s="1142"/>
      <c r="J35" s="1082"/>
      <c r="K35" s="1150"/>
      <c r="L35" s="1150"/>
      <c r="M35" s="1150"/>
      <c r="N35" s="1150"/>
      <c r="O35" s="1150"/>
      <c r="P35" s="1150"/>
      <c r="Q35" s="1150"/>
      <c r="R35" s="1150"/>
      <c r="S35" s="1150"/>
      <c r="T35" s="1150"/>
      <c r="U35" s="1150"/>
      <c r="V35" s="1150"/>
      <c r="W35" s="1150"/>
    </row>
    <row r="36" spans="2:23" ht="15" customHeight="1">
      <c r="B36" s="1087"/>
      <c r="C36" s="1842">
        <v>417</v>
      </c>
      <c r="D36" s="1843"/>
      <c r="E36" s="1844" t="s">
        <v>1246</v>
      </c>
      <c r="F36" s="1845"/>
      <c r="G36" s="1845"/>
      <c r="H36" s="1845"/>
      <c r="I36" s="1846"/>
      <c r="J36" s="1082"/>
    </row>
    <row r="37" spans="2:23">
      <c r="B37" s="1087"/>
      <c r="C37" s="1149"/>
      <c r="D37" s="1149"/>
      <c r="E37" s="1847"/>
      <c r="F37" s="1848"/>
      <c r="G37" s="1848"/>
      <c r="H37" s="1848"/>
      <c r="I37" s="1849"/>
      <c r="J37" s="1082"/>
    </row>
    <row r="38" spans="2:23" ht="15" customHeight="1">
      <c r="B38" s="1087"/>
      <c r="C38" s="1149"/>
      <c r="D38" s="1149"/>
      <c r="E38" s="1864" t="s">
        <v>1245</v>
      </c>
      <c r="F38" s="1865"/>
      <c r="G38" s="1865"/>
      <c r="H38" s="1865"/>
      <c r="I38" s="1866"/>
      <c r="J38" s="1082"/>
    </row>
    <row r="39" spans="2:23" ht="15" customHeight="1">
      <c r="B39" s="1087"/>
      <c r="C39" s="1149"/>
      <c r="D39" s="1149"/>
      <c r="E39" s="1142"/>
      <c r="F39" s="1148"/>
      <c r="G39" s="1148"/>
      <c r="H39" s="1148"/>
      <c r="I39" s="1148"/>
      <c r="J39" s="1082"/>
    </row>
    <row r="40" spans="2:23" ht="15" customHeight="1">
      <c r="B40" s="1087"/>
      <c r="C40" s="1149"/>
      <c r="D40" s="1149"/>
      <c r="E40" s="1142"/>
      <c r="F40" s="1148"/>
      <c r="G40" s="1148"/>
      <c r="H40" s="1148"/>
      <c r="I40" s="1148"/>
      <c r="J40" s="1082"/>
    </row>
    <row r="41" spans="2:23" ht="15" customHeight="1">
      <c r="B41" s="1087"/>
      <c r="C41" s="1840" t="s">
        <v>744</v>
      </c>
      <c r="D41" s="1841"/>
      <c r="E41" s="1844" t="s">
        <v>1312</v>
      </c>
      <c r="F41" s="1845"/>
      <c r="G41" s="1845"/>
      <c r="H41" s="1845"/>
      <c r="I41" s="1846"/>
      <c r="J41" s="1082"/>
    </row>
    <row r="42" spans="2:23" ht="15" customHeight="1">
      <c r="B42" s="1087"/>
      <c r="C42" s="1149"/>
      <c r="D42" s="1149"/>
      <c r="E42" s="1847"/>
      <c r="F42" s="1848"/>
      <c r="G42" s="1848"/>
      <c r="H42" s="1848"/>
      <c r="I42" s="1849"/>
      <c r="J42" s="1082"/>
    </row>
    <row r="43" spans="2:23">
      <c r="B43" s="1087"/>
      <c r="C43" s="1149"/>
      <c r="D43" s="1149"/>
      <c r="E43" s="1850"/>
      <c r="F43" s="1851"/>
      <c r="G43" s="1851"/>
      <c r="H43" s="1851"/>
      <c r="I43" s="1852"/>
      <c r="J43" s="1082"/>
    </row>
    <row r="44" spans="2:23" ht="15" customHeight="1">
      <c r="B44" s="1087"/>
      <c r="C44" s="1149"/>
      <c r="D44" s="1149"/>
      <c r="E44" s="1142"/>
      <c r="F44" s="1148"/>
      <c r="G44" s="1148"/>
      <c r="H44" s="1148"/>
      <c r="I44" s="1148"/>
      <c r="J44" s="1082"/>
    </row>
    <row r="45" spans="2:23" ht="15" customHeight="1">
      <c r="B45" s="1087"/>
      <c r="C45" s="1149"/>
      <c r="D45" s="1149"/>
      <c r="E45" s="1142"/>
      <c r="F45" s="1148"/>
      <c r="G45" s="1148"/>
      <c r="H45" s="1148"/>
      <c r="I45" s="1148"/>
      <c r="J45" s="1082"/>
    </row>
    <row r="46" spans="2:23" ht="15" customHeight="1">
      <c r="B46" s="1087"/>
      <c r="C46" s="1840" t="s">
        <v>2459</v>
      </c>
      <c r="D46" s="1841"/>
      <c r="E46" s="1855" t="s">
        <v>1311</v>
      </c>
      <c r="F46" s="1856"/>
      <c r="G46" s="1856"/>
      <c r="H46" s="1856"/>
      <c r="I46" s="1857"/>
      <c r="J46" s="1082"/>
    </row>
    <row r="47" spans="2:23" ht="15" customHeight="1">
      <c r="B47" s="1087"/>
      <c r="C47" s="1142"/>
      <c r="D47" s="1142"/>
      <c r="E47" s="1858"/>
      <c r="F47" s="1859"/>
      <c r="G47" s="1859"/>
      <c r="H47" s="1859"/>
      <c r="I47" s="1860"/>
      <c r="J47" s="1082"/>
    </row>
    <row r="48" spans="2:23" ht="15" customHeight="1">
      <c r="B48" s="1087"/>
      <c r="C48" s="1142"/>
      <c r="D48" s="1142"/>
      <c r="E48" s="1861"/>
      <c r="F48" s="1862"/>
      <c r="G48" s="1862"/>
      <c r="H48" s="1862"/>
      <c r="I48" s="1863"/>
      <c r="J48" s="1082"/>
    </row>
    <row r="49" spans="2:31" ht="16" thickBot="1">
      <c r="B49" s="1087"/>
      <c r="C49" s="1142"/>
      <c r="D49" s="1142"/>
      <c r="E49" s="1142"/>
      <c r="F49" s="1142"/>
      <c r="G49" s="1142"/>
      <c r="H49" s="1142"/>
      <c r="I49" s="1142"/>
      <c r="J49" s="1082"/>
      <c r="K49" s="1147"/>
    </row>
    <row r="50" spans="2:31">
      <c r="B50" s="1146"/>
      <c r="C50" s="1145"/>
      <c r="D50" s="1144"/>
      <c r="E50" s="1144"/>
      <c r="F50" s="1144"/>
      <c r="G50" s="1144"/>
      <c r="H50" s="1144"/>
      <c r="I50" s="1144"/>
      <c r="J50" s="1144"/>
      <c r="K50" s="1143"/>
      <c r="L50" s="1143"/>
      <c r="M50" s="1143"/>
      <c r="N50" s="1143"/>
      <c r="O50" s="1143"/>
      <c r="P50" s="1143"/>
      <c r="Q50" s="1088"/>
    </row>
    <row r="51" spans="2:31">
      <c r="B51" s="1087"/>
      <c r="C51" s="1141" t="s">
        <v>1310</v>
      </c>
      <c r="D51" s="1142"/>
      <c r="E51" s="1141"/>
      <c r="F51" s="1141"/>
      <c r="G51" s="1141"/>
      <c r="H51" s="1141"/>
      <c r="I51" s="1141"/>
      <c r="J51" s="1141"/>
      <c r="K51" s="1141"/>
      <c r="L51" s="1141"/>
      <c r="M51" s="1141"/>
      <c r="N51" s="1141"/>
      <c r="O51" s="1141"/>
      <c r="P51" s="1141"/>
      <c r="Q51" s="1082"/>
    </row>
    <row r="52" spans="2:31" s="1136" customFormat="1" ht="15" customHeight="1">
      <c r="B52" s="1140"/>
      <c r="C52" s="1139" t="s">
        <v>189</v>
      </c>
      <c r="D52" s="1112" t="s">
        <v>882</v>
      </c>
      <c r="E52" s="1112" t="s">
        <v>884</v>
      </c>
      <c r="F52" s="1113" t="s">
        <v>886</v>
      </c>
      <c r="G52" s="1112" t="s">
        <v>888</v>
      </c>
      <c r="H52" s="1112" t="s">
        <v>890</v>
      </c>
      <c r="I52" s="1112" t="s">
        <v>892</v>
      </c>
      <c r="J52" s="1112"/>
      <c r="K52" s="1725"/>
      <c r="L52" s="1112" t="s">
        <v>898</v>
      </c>
      <c r="M52" s="1112" t="s">
        <v>900</v>
      </c>
      <c r="N52" s="1112" t="s">
        <v>902</v>
      </c>
      <c r="O52" s="1112" t="s">
        <v>904</v>
      </c>
      <c r="P52" s="1112" t="s">
        <v>67</v>
      </c>
      <c r="Q52" s="1138"/>
      <c r="R52" s="1137"/>
      <c r="S52" s="1137"/>
      <c r="T52" s="1137"/>
      <c r="U52" s="1137"/>
      <c r="V52" s="1137"/>
      <c r="W52" s="1137"/>
      <c r="X52" s="1137"/>
      <c r="Y52" s="1137"/>
      <c r="Z52" s="1137"/>
      <c r="AA52" s="1137"/>
      <c r="AB52" s="1137"/>
      <c r="AC52" s="1137"/>
      <c r="AD52" s="1137"/>
      <c r="AE52" s="1137"/>
    </row>
    <row r="53" spans="2:31">
      <c r="B53" s="1087"/>
      <c r="C53" s="1078" t="str">
        <f>IF(C46="","",C46)</f>
        <v>Signal grass</v>
      </c>
      <c r="D53" s="1077">
        <f>IF(ISNUMBER(ForageProductionModel!H29),ForageProductionModel!H29,"")</f>
        <v>277.34182104472922</v>
      </c>
      <c r="E53" s="1077">
        <f>IF(ISNUMBER(ForageProductionModel!H30),ForageProductionModel!H30,"")</f>
        <v>236.73786992145466</v>
      </c>
      <c r="F53" s="1077">
        <f>IF(ISNUMBER(ForageProductionModel!H31),ForageProductionModel!H31,"")</f>
        <v>399.73717476775778</v>
      </c>
      <c r="G53" s="1077">
        <f>IF(ISNUMBER(ForageProductionModel!H32),ForageProductionModel!H32,"")</f>
        <v>353.57736206340257</v>
      </c>
      <c r="H53" s="1077">
        <f>IF(ISNUMBER(ForageProductionModel!H33),ForageProductionModel!H33,"")</f>
        <v>214.14753307888819</v>
      </c>
      <c r="I53" s="1077">
        <f>IF(ISNUMBER(ForageProductionModel!H34),ForageProductionModel!H34,"")</f>
        <v>143.18550215184825</v>
      </c>
      <c r="J53" s="1077">
        <f>IF(ISNUMBER(ForageProductionModel!H35),ForageProductionModel!H35,"")</f>
        <v>139.61554782967892</v>
      </c>
      <c r="K53" s="1077">
        <f>IF(ISNUMBER(ForageProductionModel!H36),ForageProductionModel!H36,"")</f>
        <v>134.81956723722539</v>
      </c>
      <c r="L53" s="1077">
        <f>IF(ISNUMBER(ForageProductionModel!H37),ForageProductionModel!H37,"")</f>
        <v>101.92025238619459</v>
      </c>
      <c r="M53" s="1077">
        <f>IF(ISNUMBER(ForageProductionModel!H38),ForageProductionModel!H38,"")</f>
        <v>119.2504964047244</v>
      </c>
      <c r="N53" s="1077">
        <f>IF(ISNUMBER(ForageProductionModel!H39),ForageProductionModel!H39,"")</f>
        <v>249.32268302923512</v>
      </c>
      <c r="O53" s="1077">
        <f>IF(ISNUMBER(ForageProductionModel!H40),ForageProductionModel!H40,"")</f>
        <v>332.44592991039701</v>
      </c>
      <c r="P53" s="1076">
        <f>SUM(D53:O53)</f>
        <v>2702.1017398255362</v>
      </c>
      <c r="Q53" s="1082"/>
    </row>
    <row r="54" spans="2:31" ht="16" thickBot="1">
      <c r="B54" s="1093"/>
      <c r="C54" s="1092" t="s">
        <v>1309</v>
      </c>
      <c r="D54" s="1092"/>
      <c r="E54" s="1092"/>
      <c r="F54" s="1092"/>
      <c r="G54" s="1092"/>
      <c r="H54" s="1092"/>
      <c r="I54" s="1092"/>
      <c r="J54" s="1092"/>
      <c r="K54" s="1092"/>
      <c r="L54" s="1092"/>
      <c r="M54" s="1092"/>
      <c r="N54" s="1092"/>
      <c r="O54" s="1092"/>
      <c r="P54" s="1092"/>
      <c r="Q54" s="1091"/>
    </row>
    <row r="55" spans="2:31">
      <c r="C55" s="1097"/>
      <c r="D55" s="1097"/>
      <c r="E55" s="1097"/>
      <c r="F55" s="1097"/>
      <c r="G55" s="1097"/>
      <c r="H55" s="1097"/>
      <c r="I55" s="1097"/>
      <c r="J55" s="1097"/>
      <c r="K55" s="1097"/>
      <c r="L55" s="1097"/>
      <c r="M55" s="1097"/>
      <c r="N55" s="1097"/>
      <c r="O55" s="1097"/>
    </row>
    <row r="56" spans="2:31" ht="16" thickBot="1">
      <c r="C56" s="1097"/>
      <c r="D56" s="1097"/>
      <c r="E56" s="1097"/>
      <c r="F56" s="1097"/>
      <c r="G56" s="1097"/>
      <c r="H56" s="1097"/>
      <c r="I56" s="1097"/>
      <c r="J56" s="1097"/>
      <c r="K56" s="1097"/>
      <c r="L56" s="1097"/>
      <c r="M56" s="1097"/>
      <c r="N56" s="1097"/>
      <c r="O56" s="1097"/>
    </row>
    <row r="57" spans="2:31" ht="22" thickTop="1">
      <c r="B57" s="1135"/>
      <c r="C57" s="1134" t="s">
        <v>1308</v>
      </c>
      <c r="D57" s="1133"/>
      <c r="E57" s="1133"/>
      <c r="F57" s="1133"/>
      <c r="G57" s="1133"/>
      <c r="H57" s="1133"/>
      <c r="I57" s="1133"/>
      <c r="J57" s="1133"/>
      <c r="K57" s="1133"/>
      <c r="L57" s="1133"/>
      <c r="M57" s="1133"/>
      <c r="N57" s="1133"/>
      <c r="O57" s="1133"/>
      <c r="P57" s="1133"/>
      <c r="Q57" s="1133"/>
      <c r="R57" s="1132"/>
      <c r="S57" s="1131"/>
    </row>
    <row r="58" spans="2:31" ht="22" thickBot="1">
      <c r="B58" s="1106"/>
      <c r="C58" s="1096"/>
      <c r="D58" s="1096" t="s">
        <v>1307</v>
      </c>
      <c r="E58" s="1094"/>
      <c r="F58" s="1094"/>
      <c r="G58" s="1094"/>
      <c r="H58" s="1094"/>
      <c r="I58" s="1094"/>
      <c r="J58" s="1094"/>
      <c r="K58" s="1094"/>
      <c r="L58" s="1094"/>
      <c r="M58" s="1094"/>
      <c r="N58" s="1094"/>
      <c r="O58" s="1094"/>
      <c r="P58" s="1094"/>
      <c r="Q58" s="1094"/>
      <c r="S58" s="1102"/>
    </row>
    <row r="59" spans="2:31">
      <c r="B59" s="1106"/>
      <c r="C59" s="1130"/>
      <c r="D59" s="1129"/>
      <c r="E59" s="1129"/>
      <c r="F59" s="1129"/>
      <c r="G59" s="1129"/>
      <c r="H59" s="1129"/>
      <c r="I59" s="1129"/>
      <c r="J59" s="1129"/>
      <c r="K59" s="1117"/>
      <c r="S59" s="1102"/>
    </row>
    <row r="60" spans="2:31" ht="15" customHeight="1">
      <c r="B60" s="1106"/>
      <c r="C60" s="1111"/>
      <c r="D60" s="1844" t="s">
        <v>1306</v>
      </c>
      <c r="E60" s="1845"/>
      <c r="F60" s="1845"/>
      <c r="G60" s="1845"/>
      <c r="H60" s="1845"/>
      <c r="I60" s="1845"/>
      <c r="J60" s="1846"/>
      <c r="K60" s="1107"/>
      <c r="S60" s="1102"/>
    </row>
    <row r="61" spans="2:31">
      <c r="B61" s="1106"/>
      <c r="C61" s="1111"/>
      <c r="D61" s="1847"/>
      <c r="E61" s="1848"/>
      <c r="F61" s="1848"/>
      <c r="G61" s="1848"/>
      <c r="H61" s="1848"/>
      <c r="I61" s="1848"/>
      <c r="J61" s="1849"/>
      <c r="K61" s="1107"/>
      <c r="S61" s="1102"/>
    </row>
    <row r="62" spans="2:31">
      <c r="B62" s="1106"/>
      <c r="C62" s="1111"/>
      <c r="D62" s="1847"/>
      <c r="E62" s="1848"/>
      <c r="F62" s="1848"/>
      <c r="G62" s="1848"/>
      <c r="H62" s="1848"/>
      <c r="I62" s="1848"/>
      <c r="J62" s="1849"/>
      <c r="K62" s="1107"/>
      <c r="S62" s="1102"/>
    </row>
    <row r="63" spans="2:31" ht="15" customHeight="1">
      <c r="B63" s="1106"/>
      <c r="C63" s="1111"/>
      <c r="D63" s="1847"/>
      <c r="E63" s="1848"/>
      <c r="F63" s="1848"/>
      <c r="G63" s="1848"/>
      <c r="H63" s="1848"/>
      <c r="I63" s="1848"/>
      <c r="J63" s="1849"/>
      <c r="K63" s="1107"/>
      <c r="S63" s="1102"/>
    </row>
    <row r="64" spans="2:31" ht="15" customHeight="1">
      <c r="B64" s="1106"/>
      <c r="C64" s="1111"/>
      <c r="D64" s="1847"/>
      <c r="E64" s="1848"/>
      <c r="F64" s="1848"/>
      <c r="G64" s="1848"/>
      <c r="H64" s="1848"/>
      <c r="I64" s="1848"/>
      <c r="J64" s="1849"/>
      <c r="K64" s="1107"/>
      <c r="S64" s="1102"/>
    </row>
    <row r="65" spans="2:21" ht="15" customHeight="1">
      <c r="B65" s="1106"/>
      <c r="C65" s="1111"/>
      <c r="D65" s="1850"/>
      <c r="E65" s="1851"/>
      <c r="F65" s="1851"/>
      <c r="G65" s="1851"/>
      <c r="H65" s="1851"/>
      <c r="I65" s="1851"/>
      <c r="J65" s="1852"/>
      <c r="K65" s="1107"/>
      <c r="S65" s="1102"/>
    </row>
    <row r="66" spans="2:21" ht="15" customHeight="1">
      <c r="B66" s="1106"/>
      <c r="C66" s="1111"/>
      <c r="D66" s="1128"/>
      <c r="E66" s="1128"/>
      <c r="F66" s="1128"/>
      <c r="G66" s="1128"/>
      <c r="H66" s="1128"/>
      <c r="I66" s="1128"/>
      <c r="J66" s="1128"/>
      <c r="K66" s="1107"/>
      <c r="S66" s="1102"/>
    </row>
    <row r="67" spans="2:21" ht="30" customHeight="1">
      <c r="B67" s="1106"/>
      <c r="C67" s="1111"/>
      <c r="D67" s="1867" t="s">
        <v>1305</v>
      </c>
      <c r="E67" s="1868"/>
      <c r="F67" s="1868"/>
      <c r="G67" s="1869"/>
      <c r="H67" s="1116"/>
      <c r="I67" s="1870" t="s">
        <v>1304</v>
      </c>
      <c r="J67" s="1871"/>
      <c r="K67" s="1127"/>
      <c r="L67" s="1126"/>
      <c r="M67" s="1126"/>
      <c r="N67" s="1126"/>
      <c r="O67" s="1126"/>
      <c r="P67" s="1126"/>
      <c r="Q67" s="1126"/>
      <c r="R67" s="1126"/>
      <c r="S67" s="1102"/>
    </row>
    <row r="68" spans="2:21" ht="15" customHeight="1">
      <c r="B68" s="1106"/>
      <c r="C68" s="1111"/>
      <c r="D68" s="1125" t="s">
        <v>1244</v>
      </c>
      <c r="E68" s="1124">
        <f>IF(C36="","",C36)</f>
        <v>417</v>
      </c>
      <c r="F68" s="1832">
        <f>IF(ISNUMBER(ForageProductionModel!K6),ForageProductionModel!K6,"")</f>
        <v>3000</v>
      </c>
      <c r="G68" s="1833"/>
      <c r="H68" s="1116"/>
      <c r="I68" s="1830">
        <v>1500</v>
      </c>
      <c r="J68" s="1831"/>
      <c r="K68" s="1123"/>
      <c r="L68" s="1122"/>
      <c r="M68" s="1122"/>
      <c r="N68" s="1122"/>
      <c r="O68" s="1122"/>
      <c r="P68" s="1122"/>
      <c r="Q68" s="1122"/>
      <c r="R68" s="1122"/>
      <c r="S68" s="1102"/>
    </row>
    <row r="69" spans="2:21" ht="15" customHeight="1">
      <c r="B69" s="1106"/>
      <c r="C69" s="1111"/>
      <c r="D69" s="1125" t="s">
        <v>751</v>
      </c>
      <c r="E69" s="1124">
        <f>IF(C36="","",C36)</f>
        <v>417</v>
      </c>
      <c r="F69" s="1832">
        <f>IF(ISNUMBER(ForageProductionModel!K5),ForageProductionModel!K5,"")</f>
        <v>2500</v>
      </c>
      <c r="G69" s="1833"/>
      <c r="H69" s="1116"/>
      <c r="I69" s="1116"/>
      <c r="J69" s="1116"/>
      <c r="K69" s="1123"/>
      <c r="L69" s="1122"/>
      <c r="M69" s="1122"/>
      <c r="N69" s="1122"/>
      <c r="O69" s="1122"/>
      <c r="P69" s="1122"/>
      <c r="Q69" s="1122"/>
      <c r="R69" s="1122"/>
      <c r="S69" s="1102"/>
    </row>
    <row r="70" spans="2:21">
      <c r="B70" s="1106"/>
      <c r="C70" s="1111"/>
      <c r="D70" s="1125" t="s">
        <v>1243</v>
      </c>
      <c r="E70" s="1124">
        <f>IF(C36="","",C36)</f>
        <v>417</v>
      </c>
      <c r="F70" s="1832">
        <f>IF(ISNUMBER(ForageProductionModel!K4),ForageProductionModel!K4,"")</f>
        <v>2000</v>
      </c>
      <c r="G70" s="1833"/>
      <c r="H70" s="1116"/>
      <c r="I70" s="1116"/>
      <c r="J70" s="1116"/>
      <c r="K70" s="1123"/>
      <c r="L70" s="1122"/>
      <c r="M70" s="1122"/>
      <c r="N70" s="1122"/>
      <c r="O70" s="1122"/>
      <c r="P70" s="1122"/>
      <c r="Q70" s="1122"/>
      <c r="R70" s="1122"/>
      <c r="S70" s="1102"/>
    </row>
    <row r="71" spans="2:21" ht="16" thickBot="1">
      <c r="B71" s="1106"/>
      <c r="C71" s="1111"/>
      <c r="D71" s="1116"/>
      <c r="E71" s="1116"/>
      <c r="F71" s="1116"/>
      <c r="G71" s="1116"/>
      <c r="H71" s="1116"/>
      <c r="I71" s="1116"/>
      <c r="J71" s="1116"/>
      <c r="K71" s="1107"/>
      <c r="S71" s="1102"/>
    </row>
    <row r="72" spans="2:21">
      <c r="B72" s="1106"/>
      <c r="C72" s="1121"/>
      <c r="D72" s="1120"/>
      <c r="E72" s="1119"/>
      <c r="F72" s="1119"/>
      <c r="G72" s="1119"/>
      <c r="H72" s="1119"/>
      <c r="I72" s="1119"/>
      <c r="J72" s="1119"/>
      <c r="K72" s="1119"/>
      <c r="L72" s="1118"/>
      <c r="M72" s="1118"/>
      <c r="N72" s="1118"/>
      <c r="O72" s="1118"/>
      <c r="P72" s="1118"/>
      <c r="Q72" s="1118"/>
      <c r="R72" s="1117"/>
      <c r="S72" s="1102"/>
    </row>
    <row r="73" spans="2:21">
      <c r="B73" s="1106"/>
      <c r="C73" s="1111"/>
      <c r="D73" s="1115" t="s">
        <v>1303</v>
      </c>
      <c r="E73" s="1116"/>
      <c r="F73" s="1115"/>
      <c r="G73" s="1115"/>
      <c r="H73" s="1115"/>
      <c r="I73" s="1115"/>
      <c r="J73" s="1115"/>
      <c r="K73" s="1115"/>
      <c r="L73" s="1115"/>
      <c r="M73" s="1115"/>
      <c r="N73" s="1115"/>
      <c r="O73" s="1115"/>
      <c r="P73" s="1115"/>
      <c r="Q73" s="1115"/>
      <c r="R73" s="1107"/>
      <c r="S73" s="1102"/>
    </row>
    <row r="74" spans="2:21">
      <c r="B74" s="1106"/>
      <c r="C74" s="1111"/>
      <c r="D74" s="1114" t="s">
        <v>730</v>
      </c>
      <c r="E74" s="1112" t="s">
        <v>882</v>
      </c>
      <c r="F74" s="1112" t="s">
        <v>884</v>
      </c>
      <c r="G74" s="1113" t="s">
        <v>886</v>
      </c>
      <c r="H74" s="1112" t="s">
        <v>888</v>
      </c>
      <c r="I74" s="1112" t="s">
        <v>890</v>
      </c>
      <c r="J74" s="1112"/>
      <c r="K74" s="1112"/>
      <c r="L74" s="1112" t="s">
        <v>896</v>
      </c>
      <c r="M74" s="1112" t="s">
        <v>898</v>
      </c>
      <c r="N74" s="1112" t="s">
        <v>900</v>
      </c>
      <c r="O74" s="1112" t="s">
        <v>902</v>
      </c>
      <c r="P74" s="1112" t="s">
        <v>904</v>
      </c>
      <c r="Q74" s="1112" t="s">
        <v>67</v>
      </c>
      <c r="R74" s="1107"/>
      <c r="S74" s="1102"/>
    </row>
    <row r="75" spans="2:21">
      <c r="B75" s="1106"/>
      <c r="C75" s="1111"/>
      <c r="D75" s="1110" t="str">
        <f>IF(C46="","",C46)</f>
        <v>Signal grass</v>
      </c>
      <c r="E75" s="1109">
        <f>IF(ISNUMBER(I68),ForageProductionModel!I29*I68,"")</f>
        <v>153.95894441559926</v>
      </c>
      <c r="F75" s="1109">
        <f>IF(ISNUMBER(I68),ForageProductionModel!I30*I68,"")</f>
        <v>131.41873958643387</v>
      </c>
      <c r="G75" s="1109">
        <f>IF(ISNUMBER(I68),ForageProductionModel!I31*I68,"")</f>
        <v>221.90347362359151</v>
      </c>
      <c r="H75" s="1109">
        <f>IF(ISNUMBER(I68),ForageProductionModel!I32*I68,"")</f>
        <v>196.27907982818866</v>
      </c>
      <c r="I75" s="1109">
        <f>IF(ISNUMBER(I68),ForageProductionModel!I33*I68,"")</f>
        <v>118.87831419666389</v>
      </c>
      <c r="J75" s="1109">
        <f>IF(ISNUMBER(I68),ForageProductionModel!I34*I68,"")</f>
        <v>79.485627821563725</v>
      </c>
      <c r="K75" s="1109">
        <f>IF(ISNUMBER(I68),ForageProductionModel!I35*I68,"")</f>
        <v>77.50386251482891</v>
      </c>
      <c r="L75" s="1109">
        <f>IF(ISNUMBER(I68),ForageProductionModel!I36*I68,"")</f>
        <v>74.841501293321102</v>
      </c>
      <c r="M75" s="1109">
        <f>IF(ISNUMBER(I68),ForageProductionModel!I37*I68,"")</f>
        <v>56.578320618365304</v>
      </c>
      <c r="N75" s="1109">
        <f>IF(ISNUMBER(I68),ForageProductionModel!I38*I68,"")</f>
        <v>66.198745210325015</v>
      </c>
      <c r="O75" s="1109">
        <f>IF(ISNUMBER(I68),ForageProductionModel!I39*I68,"")</f>
        <v>138.40486426984032</v>
      </c>
      <c r="P75" s="1109">
        <f>IF(ISNUMBER(I68),ForageProductionModel!I40*I68,"")</f>
        <v>184.54852662127834</v>
      </c>
      <c r="Q75" s="1108">
        <f>SUM(E75:P75)</f>
        <v>1500</v>
      </c>
      <c r="R75" s="1107"/>
      <c r="S75" s="1102"/>
    </row>
    <row r="76" spans="2:21" ht="16" thickBot="1">
      <c r="B76" s="1106"/>
      <c r="C76" s="1105"/>
      <c r="D76" s="1104"/>
      <c r="E76" s="1104"/>
      <c r="F76" s="1104"/>
      <c r="G76" s="1104"/>
      <c r="H76" s="1104"/>
      <c r="I76" s="1104"/>
      <c r="J76" s="1104"/>
      <c r="K76" s="1104"/>
      <c r="L76" s="1104"/>
      <c r="M76" s="1104"/>
      <c r="N76" s="1104"/>
      <c r="O76" s="1104"/>
      <c r="P76" s="1104"/>
      <c r="Q76" s="1104"/>
      <c r="R76" s="1103"/>
      <c r="S76" s="1102"/>
    </row>
    <row r="77" spans="2:21" ht="16" thickBot="1">
      <c r="B77" s="1101"/>
      <c r="C77" s="1100"/>
      <c r="D77" s="1100"/>
      <c r="E77" s="1100"/>
      <c r="F77" s="1100"/>
      <c r="G77" s="1100"/>
      <c r="H77" s="1100"/>
      <c r="I77" s="1100"/>
      <c r="J77" s="1100"/>
      <c r="K77" s="1100"/>
      <c r="L77" s="1100"/>
      <c r="M77" s="1100"/>
      <c r="N77" s="1100"/>
      <c r="O77" s="1100"/>
      <c r="P77" s="1099"/>
      <c r="Q77" s="1099"/>
      <c r="R77" s="1099"/>
      <c r="S77" s="1098"/>
    </row>
    <row r="78" spans="2:21" ht="16" thickTop="1">
      <c r="C78" s="1097"/>
      <c r="D78" s="1097"/>
      <c r="E78" s="1097"/>
      <c r="F78" s="1097"/>
      <c r="G78" s="1097"/>
      <c r="H78" s="1097"/>
      <c r="I78" s="1097"/>
      <c r="J78" s="1097"/>
      <c r="K78" s="1097"/>
      <c r="L78" s="1097"/>
      <c r="M78" s="1097"/>
      <c r="N78" s="1097"/>
      <c r="O78" s="1097"/>
    </row>
    <row r="79" spans="2:21" ht="21.75" customHeight="1" thickBot="1">
      <c r="B79" s="1096" t="s">
        <v>1302</v>
      </c>
      <c r="C79" s="1095"/>
      <c r="D79" s="1095"/>
      <c r="E79" s="1095"/>
      <c r="F79" s="1095"/>
      <c r="G79" s="1095"/>
      <c r="H79" s="1095"/>
      <c r="I79" s="1095"/>
      <c r="J79" s="1095"/>
      <c r="K79" s="1095"/>
      <c r="L79" s="1095"/>
      <c r="M79" s="1095"/>
      <c r="N79" s="1095"/>
      <c r="O79" s="1095"/>
      <c r="P79" s="1095"/>
      <c r="Q79" s="1095"/>
      <c r="R79" s="1095"/>
      <c r="S79" s="1095"/>
      <c r="T79" s="1095"/>
      <c r="U79" s="1094"/>
    </row>
    <row r="80" spans="2:21">
      <c r="B80" s="1090"/>
      <c r="C80" s="1089"/>
      <c r="D80" s="1089"/>
      <c r="E80" s="1089"/>
      <c r="F80" s="1089"/>
      <c r="G80" s="1089"/>
      <c r="H80" s="1089"/>
      <c r="I80" s="1089"/>
      <c r="J80" s="1089"/>
      <c r="K80" s="1089"/>
      <c r="L80" s="1089"/>
      <c r="M80" s="1089"/>
      <c r="N80" s="1089"/>
      <c r="O80" s="1089"/>
      <c r="P80" s="1089"/>
      <c r="Q80" s="1089"/>
      <c r="R80" s="1089"/>
      <c r="S80" s="1088"/>
    </row>
    <row r="81" spans="2:32" ht="61.5" customHeight="1">
      <c r="B81" s="1087"/>
      <c r="C81" s="1834" t="s">
        <v>1301</v>
      </c>
      <c r="D81" s="1835"/>
      <c r="E81" s="1835"/>
      <c r="F81" s="1835"/>
      <c r="G81" s="1835"/>
      <c r="H81" s="1835"/>
      <c r="I81" s="1835"/>
      <c r="J81" s="1835"/>
      <c r="K81" s="1835"/>
      <c r="L81" s="1835"/>
      <c r="M81" s="1835"/>
      <c r="N81" s="1835"/>
      <c r="O81" s="1835"/>
      <c r="P81" s="1835"/>
      <c r="Q81" s="1835"/>
      <c r="R81" s="1836"/>
      <c r="S81" s="1082"/>
    </row>
    <row r="82" spans="2:32" ht="16" thickBot="1">
      <c r="B82" s="1093"/>
      <c r="C82" s="1092"/>
      <c r="D82" s="1092"/>
      <c r="E82" s="1092"/>
      <c r="F82" s="1092"/>
      <c r="G82" s="1092"/>
      <c r="H82" s="1092"/>
      <c r="I82" s="1092"/>
      <c r="J82" s="1092"/>
      <c r="K82" s="1092"/>
      <c r="L82" s="1092"/>
      <c r="M82" s="1092"/>
      <c r="N82" s="1092"/>
      <c r="O82" s="1092"/>
      <c r="P82" s="1092"/>
      <c r="Q82" s="1092"/>
      <c r="R82" s="1092"/>
      <c r="S82" s="1091"/>
    </row>
    <row r="83" spans="2:32">
      <c r="B83" s="1090"/>
      <c r="C83" s="1089"/>
      <c r="D83" s="1089"/>
      <c r="E83" s="1089"/>
      <c r="F83" s="1089"/>
      <c r="G83" s="1089"/>
      <c r="H83" s="1089"/>
      <c r="I83" s="1089"/>
      <c r="J83" s="1089"/>
      <c r="K83" s="1089"/>
      <c r="L83" s="1089"/>
      <c r="M83" s="1089"/>
      <c r="N83" s="1089"/>
      <c r="O83" s="1089"/>
      <c r="P83" s="1089"/>
      <c r="Q83" s="1089"/>
      <c r="R83" s="1089"/>
      <c r="S83" s="1088"/>
    </row>
    <row r="84" spans="2:32" ht="30" customHeight="1">
      <c r="B84" s="1087"/>
      <c r="C84" s="1086"/>
      <c r="D84" s="1085" t="s">
        <v>1300</v>
      </c>
      <c r="E84" s="1085" t="s">
        <v>1299</v>
      </c>
      <c r="F84" s="1084" t="s">
        <v>882</v>
      </c>
      <c r="G84" s="1084" t="s">
        <v>884</v>
      </c>
      <c r="H84" s="1084" t="s">
        <v>886</v>
      </c>
      <c r="I84" s="1084" t="s">
        <v>888</v>
      </c>
      <c r="J84" s="1084" t="s">
        <v>890</v>
      </c>
      <c r="K84" s="1084" t="s">
        <v>892</v>
      </c>
      <c r="L84" s="1084" t="s">
        <v>894</v>
      </c>
      <c r="M84" s="1084" t="s">
        <v>896</v>
      </c>
      <c r="N84" s="1084" t="s">
        <v>898</v>
      </c>
      <c r="O84" s="1084" t="s">
        <v>900</v>
      </c>
      <c r="P84" s="1084" t="s">
        <v>902</v>
      </c>
      <c r="Q84" s="1084" t="s">
        <v>904</v>
      </c>
      <c r="R84" s="1083" t="s">
        <v>67</v>
      </c>
      <c r="S84" s="1082"/>
      <c r="U84" s="1081"/>
      <c r="V84" s="1080"/>
      <c r="W84" s="1080"/>
      <c r="X84" s="1080"/>
      <c r="Y84" s="1080"/>
      <c r="Z84" s="1080"/>
      <c r="AA84" s="1080"/>
      <c r="AB84" s="1080"/>
      <c r="AC84" s="1080"/>
      <c r="AD84" s="1080"/>
      <c r="AE84" s="1080"/>
      <c r="AF84" s="1080"/>
    </row>
    <row r="85" spans="2:32" s="1062" customFormat="1">
      <c r="B85" s="1073"/>
      <c r="C85" s="1072">
        <v>1</v>
      </c>
      <c r="D85" s="1071" t="s">
        <v>3197</v>
      </c>
      <c r="E85" s="1075"/>
      <c r="F85" s="1069"/>
      <c r="G85" s="1069"/>
      <c r="H85" s="1069"/>
      <c r="I85" s="1069"/>
      <c r="J85" s="1069"/>
      <c r="K85" s="1069"/>
      <c r="L85" s="1069"/>
      <c r="M85" s="1069"/>
      <c r="N85" s="1069"/>
      <c r="O85" s="1069"/>
      <c r="P85" s="1069"/>
      <c r="Q85" s="1069"/>
      <c r="R85" s="1074"/>
      <c r="S85" s="1067"/>
      <c r="U85" s="1079"/>
      <c r="V85" s="1079"/>
      <c r="W85" s="1079"/>
      <c r="X85" s="1079"/>
      <c r="Y85" s="1079"/>
      <c r="Z85" s="1079"/>
      <c r="AA85" s="1079"/>
      <c r="AB85" s="1079"/>
      <c r="AC85" s="1079"/>
      <c r="AD85" s="1079"/>
      <c r="AE85" s="1079"/>
      <c r="AF85" s="1079"/>
    </row>
    <row r="86" spans="2:32" s="1062" customFormat="1">
      <c r="B86" s="1073"/>
      <c r="C86" s="1072">
        <v>2</v>
      </c>
      <c r="D86" s="1071"/>
      <c r="E86" s="1075"/>
      <c r="F86" s="1069"/>
      <c r="G86" s="1069"/>
      <c r="H86" s="1069"/>
      <c r="I86" s="1069"/>
      <c r="J86" s="1069"/>
      <c r="K86" s="1069"/>
      <c r="L86" s="1069"/>
      <c r="M86" s="1069"/>
      <c r="N86" s="1069"/>
      <c r="O86" s="1069"/>
      <c r="P86" s="1069"/>
      <c r="Q86" s="1069"/>
      <c r="R86" s="1074"/>
      <c r="S86" s="1067"/>
    </row>
    <row r="87" spans="2:32" s="1062" customFormat="1">
      <c r="B87" s="1073"/>
      <c r="C87" s="1072">
        <v>3</v>
      </c>
      <c r="D87" s="1071"/>
      <c r="E87" s="1075"/>
      <c r="F87" s="1069"/>
      <c r="G87" s="1069"/>
      <c r="H87" s="1069"/>
      <c r="I87" s="1069"/>
      <c r="J87" s="1069"/>
      <c r="K87" s="1069"/>
      <c r="L87" s="1069"/>
      <c r="M87" s="1069"/>
      <c r="N87" s="1069"/>
      <c r="O87" s="1069"/>
      <c r="P87" s="1069"/>
      <c r="Q87" s="1069"/>
      <c r="R87" s="1074"/>
      <c r="S87" s="1067"/>
    </row>
    <row r="88" spans="2:32" s="1062" customFormat="1">
      <c r="B88" s="1073"/>
      <c r="C88" s="1072">
        <v>4</v>
      </c>
      <c r="D88" s="1071"/>
      <c r="E88" s="1728"/>
      <c r="F88" s="1069"/>
      <c r="G88" s="1069"/>
      <c r="H88" s="1069"/>
      <c r="I88" s="1069"/>
      <c r="J88" s="1069"/>
      <c r="K88" s="1069"/>
      <c r="L88" s="1069"/>
      <c r="M88" s="1069"/>
      <c r="N88" s="1069"/>
      <c r="O88" s="1069"/>
      <c r="P88" s="1069"/>
      <c r="Q88" s="1069"/>
      <c r="R88" s="1069"/>
      <c r="S88" s="1067"/>
    </row>
    <row r="89" spans="2:32" s="1062" customFormat="1">
      <c r="B89" s="1073"/>
      <c r="C89" s="1072">
        <v>5</v>
      </c>
      <c r="D89" s="1071"/>
      <c r="E89" s="1075"/>
      <c r="F89" s="1069"/>
      <c r="G89" s="1069"/>
      <c r="H89" s="1069"/>
      <c r="I89" s="1069"/>
      <c r="J89" s="1069"/>
      <c r="K89" s="1069"/>
      <c r="L89" s="1069"/>
      <c r="M89" s="1069"/>
      <c r="N89" s="1069"/>
      <c r="O89" s="1069"/>
      <c r="P89" s="1069"/>
      <c r="Q89" s="1069"/>
      <c r="R89" s="1074"/>
      <c r="S89" s="1067"/>
    </row>
    <row r="90" spans="2:32" s="1062" customFormat="1">
      <c r="B90" s="1073"/>
      <c r="C90" s="1072">
        <v>6</v>
      </c>
      <c r="D90" s="1071"/>
      <c r="E90" s="1075"/>
      <c r="F90" s="1069"/>
      <c r="G90" s="1069"/>
      <c r="H90" s="1069"/>
      <c r="I90" s="1069"/>
      <c r="J90" s="1069"/>
      <c r="K90" s="1069"/>
      <c r="L90" s="1069"/>
      <c r="M90" s="1069"/>
      <c r="N90" s="1069"/>
      <c r="O90" s="1069"/>
      <c r="P90" s="1069"/>
      <c r="Q90" s="1069"/>
      <c r="R90" s="1074"/>
      <c r="S90" s="1067"/>
    </row>
    <row r="91" spans="2:32" s="1062" customFormat="1">
      <c r="B91" s="1073"/>
      <c r="C91" s="1072">
        <v>7</v>
      </c>
      <c r="D91" s="1071"/>
      <c r="E91" s="1075"/>
      <c r="F91" s="1069"/>
      <c r="G91" s="1069"/>
      <c r="H91" s="1069"/>
      <c r="I91" s="1069"/>
      <c r="J91" s="1069"/>
      <c r="K91" s="1069"/>
      <c r="L91" s="1069"/>
      <c r="M91" s="1069"/>
      <c r="N91" s="1069"/>
      <c r="O91" s="1069"/>
      <c r="P91" s="1069"/>
      <c r="Q91" s="1069"/>
      <c r="R91" s="1074"/>
      <c r="S91" s="1067"/>
    </row>
    <row r="92" spans="2:32" s="1062" customFormat="1">
      <c r="B92" s="1073"/>
      <c r="C92" s="1072">
        <v>8</v>
      </c>
      <c r="D92" s="1071"/>
      <c r="E92" s="1075"/>
      <c r="F92" s="1069"/>
      <c r="G92" s="1069"/>
      <c r="H92" s="1069"/>
      <c r="I92" s="1069"/>
      <c r="J92" s="1069"/>
      <c r="K92" s="1069"/>
      <c r="L92" s="1069"/>
      <c r="M92" s="1069"/>
      <c r="N92" s="1069"/>
      <c r="O92" s="1069"/>
      <c r="P92" s="1069"/>
      <c r="Q92" s="1069"/>
      <c r="R92" s="1074"/>
      <c r="S92" s="1067"/>
    </row>
    <row r="93" spans="2:32" s="1062" customFormat="1">
      <c r="B93" s="1073"/>
      <c r="C93" s="1072">
        <v>9</v>
      </c>
      <c r="D93" s="1071"/>
      <c r="E93" s="1075"/>
      <c r="F93" s="1069"/>
      <c r="G93" s="1069"/>
      <c r="H93" s="1069"/>
      <c r="I93" s="1069"/>
      <c r="J93" s="1069"/>
      <c r="K93" s="1069"/>
      <c r="L93" s="1069"/>
      <c r="M93" s="1069"/>
      <c r="N93" s="1069"/>
      <c r="O93" s="1069"/>
      <c r="P93" s="1069"/>
      <c r="Q93" s="1069"/>
      <c r="R93" s="1074"/>
      <c r="S93" s="1067"/>
    </row>
    <row r="94" spans="2:32" s="1062" customFormat="1">
      <c r="B94" s="1073"/>
      <c r="C94" s="1072">
        <v>10</v>
      </c>
      <c r="D94" s="1071"/>
      <c r="E94" s="1070"/>
      <c r="F94" s="1069"/>
      <c r="G94" s="1069"/>
      <c r="H94" s="1069"/>
      <c r="I94" s="1069"/>
      <c r="J94" s="1069"/>
      <c r="K94" s="1069"/>
      <c r="L94" s="1069"/>
      <c r="M94" s="1069"/>
      <c r="N94" s="1069"/>
      <c r="O94" s="1069"/>
      <c r="P94" s="1069"/>
      <c r="Q94" s="1069"/>
      <c r="R94" s="1068"/>
      <c r="S94" s="1067"/>
    </row>
    <row r="95" spans="2:32" s="1062" customFormat="1">
      <c r="B95" s="1073"/>
      <c r="C95" s="1072">
        <v>11</v>
      </c>
      <c r="D95" s="1071"/>
      <c r="E95" s="1070"/>
      <c r="F95" s="1069"/>
      <c r="G95" s="1069"/>
      <c r="H95" s="1069"/>
      <c r="I95" s="1069"/>
      <c r="J95" s="1069"/>
      <c r="K95" s="1069"/>
      <c r="L95" s="1069"/>
      <c r="M95" s="1069"/>
      <c r="N95" s="1069"/>
      <c r="O95" s="1069"/>
      <c r="P95" s="1069"/>
      <c r="Q95" s="1069"/>
      <c r="R95" s="1068"/>
      <c r="S95" s="1067"/>
    </row>
    <row r="96" spans="2:32" s="1062" customFormat="1">
      <c r="B96" s="1073"/>
      <c r="C96" s="1072">
        <v>12</v>
      </c>
      <c r="D96" s="1071"/>
      <c r="E96" s="1070"/>
      <c r="F96" s="1069"/>
      <c r="G96" s="1069"/>
      <c r="H96" s="1069"/>
      <c r="I96" s="1069"/>
      <c r="J96" s="1069"/>
      <c r="K96" s="1069"/>
      <c r="L96" s="1069"/>
      <c r="M96" s="1069"/>
      <c r="N96" s="1069"/>
      <c r="O96" s="1069"/>
      <c r="P96" s="1069"/>
      <c r="Q96" s="1069"/>
      <c r="R96" s="1068"/>
      <c r="S96" s="1067"/>
    </row>
    <row r="97" spans="1:19" s="1062" customFormat="1">
      <c r="B97" s="1073"/>
      <c r="C97" s="1072">
        <v>13</v>
      </c>
      <c r="D97" s="1071"/>
      <c r="E97" s="1070"/>
      <c r="F97" s="1069"/>
      <c r="G97" s="1069"/>
      <c r="H97" s="1069"/>
      <c r="I97" s="1069"/>
      <c r="J97" s="1069"/>
      <c r="K97" s="1069"/>
      <c r="L97" s="1069"/>
      <c r="M97" s="1069"/>
      <c r="N97" s="1069"/>
      <c r="O97" s="1069"/>
      <c r="P97" s="1069"/>
      <c r="Q97" s="1069"/>
      <c r="R97" s="1068"/>
      <c r="S97" s="1067"/>
    </row>
    <row r="98" spans="1:19" s="1062" customFormat="1">
      <c r="B98" s="1073"/>
      <c r="C98" s="1072">
        <v>14</v>
      </c>
      <c r="D98" s="1071"/>
      <c r="E98" s="1070"/>
      <c r="F98" s="1069"/>
      <c r="G98" s="1069"/>
      <c r="H98" s="1069"/>
      <c r="I98" s="1069"/>
      <c r="J98" s="1069"/>
      <c r="K98" s="1069"/>
      <c r="L98" s="1069"/>
      <c r="M98" s="1069"/>
      <c r="N98" s="1069"/>
      <c r="O98" s="1069"/>
      <c r="P98" s="1069"/>
      <c r="Q98" s="1069"/>
      <c r="R98" s="1068"/>
      <c r="S98" s="1067"/>
    </row>
    <row r="99" spans="1:19" s="1062" customFormat="1">
      <c r="B99" s="1073"/>
      <c r="C99" s="1072">
        <v>15</v>
      </c>
      <c r="D99" s="1071"/>
      <c r="E99" s="1070"/>
      <c r="F99" s="1069"/>
      <c r="G99" s="1069"/>
      <c r="H99" s="1069"/>
      <c r="I99" s="1069"/>
      <c r="J99" s="1069"/>
      <c r="K99" s="1069"/>
      <c r="L99" s="1069"/>
      <c r="M99" s="1069"/>
      <c r="N99" s="1069"/>
      <c r="O99" s="1069"/>
      <c r="P99" s="1069"/>
      <c r="Q99" s="1069"/>
      <c r="R99" s="1068"/>
      <c r="S99" s="1067"/>
    </row>
    <row r="100" spans="1:19" s="1062" customFormat="1">
      <c r="B100" s="1073"/>
      <c r="C100" s="1072">
        <v>16</v>
      </c>
      <c r="D100" s="1071"/>
      <c r="E100" s="1070"/>
      <c r="F100" s="1069"/>
      <c r="G100" s="1069"/>
      <c r="H100" s="1069"/>
      <c r="I100" s="1069"/>
      <c r="J100" s="1069"/>
      <c r="K100" s="1069"/>
      <c r="L100" s="1069"/>
      <c r="M100" s="1069"/>
      <c r="N100" s="1069"/>
      <c r="O100" s="1069"/>
      <c r="P100" s="1069"/>
      <c r="Q100" s="1069"/>
      <c r="R100" s="1068"/>
      <c r="S100" s="1067"/>
    </row>
    <row r="101" spans="1:19" s="1062" customFormat="1">
      <c r="B101" s="1073"/>
      <c r="C101" s="1072">
        <v>17</v>
      </c>
      <c r="D101" s="1071"/>
      <c r="E101" s="1070"/>
      <c r="F101" s="1069"/>
      <c r="G101" s="1069"/>
      <c r="H101" s="1069"/>
      <c r="I101" s="1069"/>
      <c r="J101" s="1069"/>
      <c r="K101" s="1069"/>
      <c r="L101" s="1069"/>
      <c r="M101" s="1069"/>
      <c r="N101" s="1069"/>
      <c r="O101" s="1069"/>
      <c r="P101" s="1069"/>
      <c r="Q101" s="1069"/>
      <c r="R101" s="1068"/>
      <c r="S101" s="1067"/>
    </row>
    <row r="102" spans="1:19" s="1062" customFormat="1">
      <c r="B102" s="1073"/>
      <c r="C102" s="1072">
        <v>18</v>
      </c>
      <c r="D102" s="1071"/>
      <c r="E102" s="1070"/>
      <c r="F102" s="1069"/>
      <c r="G102" s="1069"/>
      <c r="H102" s="1069"/>
      <c r="I102" s="1069"/>
      <c r="J102" s="1069"/>
      <c r="K102" s="1069"/>
      <c r="L102" s="1069"/>
      <c r="M102" s="1069"/>
      <c r="N102" s="1069"/>
      <c r="O102" s="1069"/>
      <c r="P102" s="1069"/>
      <c r="Q102" s="1069"/>
      <c r="R102" s="1068"/>
      <c r="S102" s="1067"/>
    </row>
    <row r="103" spans="1:19" s="1062" customFormat="1">
      <c r="B103" s="1073"/>
      <c r="C103" s="1072">
        <v>19</v>
      </c>
      <c r="D103" s="1071"/>
      <c r="E103" s="1070"/>
      <c r="F103" s="1069"/>
      <c r="G103" s="1069"/>
      <c r="H103" s="1069"/>
      <c r="I103" s="1069"/>
      <c r="J103" s="1069"/>
      <c r="K103" s="1069"/>
      <c r="L103" s="1069"/>
      <c r="M103" s="1069"/>
      <c r="N103" s="1069"/>
      <c r="O103" s="1069"/>
      <c r="P103" s="1069"/>
      <c r="Q103" s="1069"/>
      <c r="R103" s="1068"/>
      <c r="S103" s="1067"/>
    </row>
    <row r="104" spans="1:19" s="1062" customFormat="1">
      <c r="B104" s="1073"/>
      <c r="C104" s="1072">
        <v>20</v>
      </c>
      <c r="D104" s="1071"/>
      <c r="E104" s="1070"/>
      <c r="F104" s="1069"/>
      <c r="G104" s="1069"/>
      <c r="H104" s="1069"/>
      <c r="I104" s="1069"/>
      <c r="J104" s="1069"/>
      <c r="K104" s="1069"/>
      <c r="L104" s="1069"/>
      <c r="M104" s="1069"/>
      <c r="N104" s="1069"/>
      <c r="O104" s="1069"/>
      <c r="P104" s="1069"/>
      <c r="Q104" s="1069"/>
      <c r="R104" s="1068"/>
      <c r="S104" s="1067"/>
    </row>
    <row r="105" spans="1:19" s="1062" customFormat="1">
      <c r="B105" s="1073"/>
      <c r="C105" s="1072">
        <v>21</v>
      </c>
      <c r="D105" s="1071"/>
      <c r="E105" s="1070"/>
      <c r="F105" s="1069"/>
      <c r="G105" s="1069"/>
      <c r="H105" s="1069"/>
      <c r="I105" s="1069"/>
      <c r="J105" s="1069"/>
      <c r="K105" s="1069"/>
      <c r="L105" s="1069"/>
      <c r="M105" s="1069"/>
      <c r="N105" s="1069"/>
      <c r="O105" s="1069"/>
      <c r="P105" s="1069"/>
      <c r="Q105" s="1069"/>
      <c r="R105" s="1068"/>
      <c r="S105" s="1067"/>
    </row>
    <row r="106" spans="1:19" s="1062" customFormat="1">
      <c r="B106" s="1073"/>
      <c r="C106" s="1072">
        <v>22</v>
      </c>
      <c r="D106" s="1071"/>
      <c r="E106" s="1070"/>
      <c r="F106" s="1069"/>
      <c r="G106" s="1069"/>
      <c r="H106" s="1069"/>
      <c r="I106" s="1069"/>
      <c r="J106" s="1069"/>
      <c r="K106" s="1069"/>
      <c r="L106" s="1069"/>
      <c r="M106" s="1069"/>
      <c r="N106" s="1069"/>
      <c r="O106" s="1069"/>
      <c r="P106" s="1069"/>
      <c r="Q106" s="1069"/>
      <c r="R106" s="1068"/>
      <c r="S106" s="1067"/>
    </row>
    <row r="107" spans="1:19" s="1062" customFormat="1">
      <c r="B107" s="1073"/>
      <c r="C107" s="1072">
        <v>23</v>
      </c>
      <c r="D107" s="1071"/>
      <c r="E107" s="1070"/>
      <c r="F107" s="1069"/>
      <c r="G107" s="1069"/>
      <c r="H107" s="1069"/>
      <c r="I107" s="1069"/>
      <c r="J107" s="1069"/>
      <c r="K107" s="1069"/>
      <c r="L107" s="1069"/>
      <c r="M107" s="1069"/>
      <c r="N107" s="1069"/>
      <c r="O107" s="1069"/>
      <c r="P107" s="1069"/>
      <c r="Q107" s="1069"/>
      <c r="R107" s="1068"/>
      <c r="S107" s="1067"/>
    </row>
    <row r="108" spans="1:19" s="1062" customFormat="1">
      <c r="B108" s="1073"/>
      <c r="C108" s="1072">
        <v>24</v>
      </c>
      <c r="D108" s="1071"/>
      <c r="E108" s="1070"/>
      <c r="F108" s="1069"/>
      <c r="G108" s="1069"/>
      <c r="H108" s="1069"/>
      <c r="I108" s="1069"/>
      <c r="J108" s="1069"/>
      <c r="K108" s="1069"/>
      <c r="L108" s="1069"/>
      <c r="M108" s="1069"/>
      <c r="N108" s="1069"/>
      <c r="O108" s="1069"/>
      <c r="P108" s="1069"/>
      <c r="Q108" s="1069"/>
      <c r="R108" s="1068"/>
      <c r="S108" s="1067"/>
    </row>
    <row r="109" spans="1:19" s="1062" customFormat="1" ht="15" customHeight="1" thickBot="1">
      <c r="B109" s="1066"/>
      <c r="C109" s="1065"/>
      <c r="D109" s="1065"/>
      <c r="E109" s="1065"/>
      <c r="F109" s="1064"/>
      <c r="G109" s="1064"/>
      <c r="H109" s="1064"/>
      <c r="I109" s="1064"/>
      <c r="J109" s="1064"/>
      <c r="K109" s="1064"/>
      <c r="L109" s="1064"/>
      <c r="M109" s="1064"/>
      <c r="N109" s="1064"/>
      <c r="O109" s="1064"/>
      <c r="P109" s="1064"/>
      <c r="Q109" s="1064"/>
      <c r="R109" s="1064"/>
      <c r="S109" s="1063"/>
    </row>
    <row r="110" spans="1:19" ht="16" thickBot="1">
      <c r="B110" s="1686"/>
      <c r="C110" s="1686"/>
      <c r="D110" s="1686"/>
      <c r="E110" s="1686"/>
      <c r="F110" s="1686"/>
      <c r="G110" s="1686"/>
      <c r="H110" s="1686"/>
      <c r="I110" s="1686"/>
      <c r="J110" s="1686"/>
      <c r="K110" s="1686"/>
      <c r="L110" s="1686"/>
      <c r="M110" s="1686"/>
      <c r="N110" s="1686"/>
      <c r="O110" s="1686"/>
      <c r="P110" s="1686"/>
      <c r="Q110" s="1686"/>
      <c r="R110" s="1686"/>
      <c r="S110" s="1686"/>
    </row>
    <row r="111" spans="1:19" hidden="1">
      <c r="E111" s="1060" t="s">
        <v>668</v>
      </c>
      <c r="F111" s="1061" t="e">
        <f>AVERAGE(F85:F108)</f>
        <v>#DIV/0!</v>
      </c>
      <c r="G111" s="1061" t="e">
        <f t="shared" ref="G111:R111" si="0">AVERAGE(G85:G108)</f>
        <v>#DIV/0!</v>
      </c>
      <c r="H111" s="1061" t="e">
        <f t="shared" si="0"/>
        <v>#DIV/0!</v>
      </c>
      <c r="I111" s="1061" t="e">
        <f t="shared" si="0"/>
        <v>#DIV/0!</v>
      </c>
      <c r="J111" s="1061" t="e">
        <f t="shared" si="0"/>
        <v>#DIV/0!</v>
      </c>
      <c r="K111" s="1061" t="e">
        <f t="shared" si="0"/>
        <v>#DIV/0!</v>
      </c>
      <c r="L111" s="1061" t="e">
        <f t="shared" si="0"/>
        <v>#DIV/0!</v>
      </c>
      <c r="M111" s="1061" t="e">
        <f t="shared" si="0"/>
        <v>#DIV/0!</v>
      </c>
      <c r="N111" s="1061" t="e">
        <f t="shared" si="0"/>
        <v>#DIV/0!</v>
      </c>
      <c r="O111" s="1061" t="e">
        <f t="shared" si="0"/>
        <v>#DIV/0!</v>
      </c>
      <c r="P111" s="1061" t="e">
        <f t="shared" si="0"/>
        <v>#DIV/0!</v>
      </c>
      <c r="Q111" s="1061" t="e">
        <f t="shared" si="0"/>
        <v>#DIV/0!</v>
      </c>
      <c r="R111" s="1061" t="e">
        <f t="shared" si="0"/>
        <v>#DIV/0!</v>
      </c>
    </row>
    <row r="112" spans="1:19" ht="22" thickTop="1">
      <c r="A112" s="1102"/>
      <c r="B112" s="1691"/>
      <c r="C112" s="1694" t="s">
        <v>3163</v>
      </c>
      <c r="D112" s="1692"/>
      <c r="E112" s="1692"/>
      <c r="F112" s="1692"/>
      <c r="G112" s="1692"/>
      <c r="H112" s="1692"/>
      <c r="I112" s="1692"/>
      <c r="J112" s="1692"/>
      <c r="K112" s="1692"/>
      <c r="L112" s="1692"/>
      <c r="M112" s="1692"/>
      <c r="N112" s="1692"/>
      <c r="O112" s="1692"/>
      <c r="P112" s="1692"/>
      <c r="Q112" s="1692"/>
      <c r="R112" s="1692"/>
      <c r="S112" s="1695"/>
    </row>
    <row r="113" spans="1:19">
      <c r="A113" s="1102"/>
      <c r="B113" s="1692"/>
      <c r="C113" s="1692"/>
      <c r="D113" s="1692"/>
      <c r="E113" s="1692"/>
      <c r="F113" s="1692"/>
      <c r="G113" s="1692"/>
      <c r="H113" s="1692"/>
      <c r="I113" s="1692"/>
      <c r="J113" s="1692"/>
      <c r="K113" s="1692"/>
      <c r="L113" s="1692"/>
      <c r="M113" s="1692"/>
      <c r="N113" s="1692"/>
      <c r="O113" s="1692"/>
      <c r="P113" s="1692"/>
      <c r="Q113" s="1692"/>
      <c r="R113" s="1692"/>
      <c r="S113" s="1695"/>
    </row>
    <row r="114" spans="1:19" ht="30" customHeight="1">
      <c r="A114" s="1102"/>
      <c r="B114" s="1692"/>
      <c r="C114" s="1822" t="s">
        <v>3164</v>
      </c>
      <c r="D114" s="1822"/>
      <c r="E114" s="1822"/>
      <c r="F114" s="1822"/>
      <c r="G114" s="1822"/>
      <c r="H114" s="1822"/>
      <c r="I114" s="1822"/>
      <c r="J114" s="1822"/>
      <c r="K114" s="1822"/>
      <c r="L114" s="1822"/>
      <c r="M114" s="1822"/>
      <c r="N114" s="1822"/>
      <c r="O114" s="1822"/>
      <c r="P114" s="1822"/>
      <c r="Q114" s="1822"/>
      <c r="R114" s="1822"/>
      <c r="S114" s="1695"/>
    </row>
    <row r="115" spans="1:19" ht="21" customHeight="1">
      <c r="A115" s="1102"/>
      <c r="B115" s="1692"/>
      <c r="C115" s="1692"/>
      <c r="D115" s="1696"/>
      <c r="E115" s="1692"/>
      <c r="F115" s="1826" t="s">
        <v>3165</v>
      </c>
      <c r="G115" s="1826"/>
      <c r="H115" s="1826"/>
      <c r="I115" s="1826"/>
      <c r="J115" s="1826"/>
      <c r="K115" s="1826"/>
      <c r="L115" s="1826"/>
      <c r="M115" s="1826"/>
      <c r="N115" s="1826"/>
      <c r="O115" s="1826"/>
      <c r="P115" s="1826"/>
      <c r="Q115" s="1826"/>
      <c r="R115" s="1826"/>
      <c r="S115" s="1695"/>
    </row>
    <row r="116" spans="1:19" ht="28.5" customHeight="1">
      <c r="A116" s="1102"/>
      <c r="B116" s="1692"/>
      <c r="C116" s="1687" t="s">
        <v>63</v>
      </c>
      <c r="D116" s="1085" t="s">
        <v>1300</v>
      </c>
      <c r="E116" s="1085" t="s">
        <v>1299</v>
      </c>
      <c r="F116" s="1687" t="s">
        <v>276</v>
      </c>
      <c r="G116" s="1687" t="s">
        <v>277</v>
      </c>
      <c r="H116" s="1687" t="s">
        <v>88</v>
      </c>
      <c r="I116" s="1687" t="s">
        <v>89</v>
      </c>
      <c r="J116" s="1687" t="s">
        <v>39</v>
      </c>
      <c r="K116" s="1687" t="s">
        <v>90</v>
      </c>
      <c r="L116" s="1687" t="s">
        <v>91</v>
      </c>
      <c r="M116" s="1687" t="s">
        <v>92</v>
      </c>
      <c r="N116" s="1687" t="s">
        <v>93</v>
      </c>
      <c r="O116" s="1687" t="s">
        <v>94</v>
      </c>
      <c r="P116" s="1687" t="s">
        <v>95</v>
      </c>
      <c r="Q116" s="1687" t="s">
        <v>96</v>
      </c>
      <c r="R116" s="1688" t="s">
        <v>76</v>
      </c>
      <c r="S116" s="1695"/>
    </row>
    <row r="117" spans="1:19">
      <c r="A117" s="1102"/>
      <c r="B117" s="1692"/>
      <c r="C117" s="1726"/>
      <c r="D117" s="1689"/>
      <c r="E117" s="1075"/>
      <c r="F117" s="1069"/>
      <c r="G117" s="1069"/>
      <c r="H117" s="1069"/>
      <c r="I117" s="1069"/>
      <c r="J117" s="1069"/>
      <c r="K117" s="1069"/>
      <c r="L117" s="1069"/>
      <c r="M117" s="1069"/>
      <c r="N117" s="1069"/>
      <c r="O117" s="1069"/>
      <c r="P117" s="1069"/>
      <c r="Q117" s="1069"/>
      <c r="R117" s="1074"/>
      <c r="S117" s="1695"/>
    </row>
    <row r="118" spans="1:19">
      <c r="A118" s="1102"/>
      <c r="B118" s="1692"/>
      <c r="C118" s="1726"/>
      <c r="D118" s="1689"/>
      <c r="E118" s="1075"/>
      <c r="F118" s="1069"/>
      <c r="G118" s="1069"/>
      <c r="H118" s="1069"/>
      <c r="I118" s="1069"/>
      <c r="J118" s="1069"/>
      <c r="K118" s="1069"/>
      <c r="L118" s="1069"/>
      <c r="M118" s="1069"/>
      <c r="N118" s="1069"/>
      <c r="O118" s="1069"/>
      <c r="P118" s="1069"/>
      <c r="Q118" s="1069"/>
      <c r="R118" s="1074"/>
      <c r="S118" s="1695"/>
    </row>
    <row r="119" spans="1:19">
      <c r="A119" s="1102"/>
      <c r="B119" s="1692"/>
      <c r="C119" s="1726"/>
      <c r="D119" s="1689"/>
      <c r="E119" s="1690"/>
      <c r="F119" s="1069"/>
      <c r="G119" s="1069"/>
      <c r="H119" s="1069"/>
      <c r="I119" s="1069"/>
      <c r="J119" s="1069"/>
      <c r="K119" s="1069"/>
      <c r="L119" s="1069"/>
      <c r="M119" s="1069"/>
      <c r="N119" s="1069"/>
      <c r="O119" s="1069"/>
      <c r="P119" s="1069"/>
      <c r="Q119" s="1069"/>
      <c r="R119" s="1074"/>
      <c r="S119" s="1695"/>
    </row>
    <row r="120" spans="1:19">
      <c r="A120" s="1102"/>
      <c r="B120" s="1692"/>
      <c r="C120" s="1159"/>
      <c r="D120" s="1159"/>
      <c r="E120" s="1727"/>
      <c r="F120" s="1727"/>
      <c r="G120" s="1727"/>
      <c r="H120" s="1727"/>
      <c r="I120" s="1727"/>
      <c r="J120" s="1727"/>
      <c r="K120" s="1727"/>
      <c r="L120" s="1727"/>
      <c r="M120" s="1727"/>
      <c r="N120" s="1727"/>
      <c r="O120" s="1727"/>
      <c r="P120" s="1727"/>
      <c r="Q120" s="1727"/>
      <c r="R120" s="1727"/>
      <c r="S120" s="1695"/>
    </row>
    <row r="121" spans="1:19">
      <c r="A121" s="1102"/>
      <c r="B121" s="1692"/>
      <c r="C121" s="1159"/>
      <c r="D121" s="1159"/>
      <c r="E121" s="1727"/>
      <c r="F121" s="1727"/>
      <c r="G121" s="1727"/>
      <c r="H121" s="1727"/>
      <c r="I121" s="1727"/>
      <c r="J121" s="1727"/>
      <c r="K121" s="1727"/>
      <c r="L121" s="1727"/>
      <c r="M121" s="1727"/>
      <c r="N121" s="1727"/>
      <c r="O121" s="1727"/>
      <c r="P121" s="1727"/>
      <c r="Q121" s="1727"/>
      <c r="R121" s="1727"/>
      <c r="S121" s="1695"/>
    </row>
    <row r="122" spans="1:19">
      <c r="A122" s="1102"/>
      <c r="B122" s="1692"/>
      <c r="C122" s="1159"/>
      <c r="D122" s="1159"/>
      <c r="E122" s="1727"/>
      <c r="F122" s="1069"/>
      <c r="G122" s="1727"/>
      <c r="H122" s="1727"/>
      <c r="I122" s="1727"/>
      <c r="J122" s="1727"/>
      <c r="K122" s="1727"/>
      <c r="L122" s="1727"/>
      <c r="M122" s="1727"/>
      <c r="N122" s="1727"/>
      <c r="O122" s="1727"/>
      <c r="P122" s="1727"/>
      <c r="Q122" s="1727"/>
      <c r="R122" s="1727"/>
      <c r="S122" s="1695"/>
    </row>
    <row r="123" spans="1:19">
      <c r="A123" s="1102"/>
      <c r="B123" s="1692"/>
      <c r="C123" s="1159"/>
      <c r="D123" s="1159"/>
      <c r="E123" s="1727"/>
      <c r="F123" s="1727"/>
      <c r="G123" s="1727"/>
      <c r="H123" s="1727"/>
      <c r="I123" s="1727"/>
      <c r="J123" s="1727"/>
      <c r="K123" s="1727"/>
      <c r="L123" s="1727"/>
      <c r="M123" s="1727"/>
      <c r="N123" s="1727"/>
      <c r="O123" s="1727"/>
      <c r="P123" s="1727"/>
      <c r="Q123" s="1727"/>
      <c r="R123" s="1727"/>
      <c r="S123" s="1695"/>
    </row>
    <row r="124" spans="1:19">
      <c r="A124" s="1102"/>
      <c r="B124" s="1692"/>
      <c r="C124" s="1159"/>
      <c r="D124" s="1159"/>
      <c r="E124" s="1727"/>
      <c r="F124" s="1727"/>
      <c r="G124" s="1727"/>
      <c r="H124" s="1727"/>
      <c r="I124" s="1727"/>
      <c r="J124" s="1727"/>
      <c r="K124" s="1727"/>
      <c r="L124" s="1727"/>
      <c r="M124" s="1727"/>
      <c r="N124" s="1727"/>
      <c r="O124" s="1727"/>
      <c r="P124" s="1727"/>
      <c r="Q124" s="1727"/>
      <c r="R124" s="1727"/>
      <c r="S124" s="1695"/>
    </row>
    <row r="125" spans="1:19">
      <c r="A125" s="1102"/>
      <c r="B125" s="1692"/>
      <c r="C125" s="1159"/>
      <c r="D125" s="1159"/>
      <c r="E125" s="1727"/>
      <c r="F125" s="1727"/>
      <c r="G125" s="1727"/>
      <c r="H125" s="1727"/>
      <c r="I125" s="1727"/>
      <c r="J125" s="1727"/>
      <c r="K125" s="1727"/>
      <c r="L125" s="1727"/>
      <c r="M125" s="1727"/>
      <c r="N125" s="1727"/>
      <c r="O125" s="1727"/>
      <c r="P125" s="1727"/>
      <c r="Q125" s="1727"/>
      <c r="R125" s="1727"/>
      <c r="S125" s="1695"/>
    </row>
    <row r="126" spans="1:19">
      <c r="A126" s="1102"/>
      <c r="B126" s="1692"/>
      <c r="C126" s="1729">
        <f>SUM(C117:C125)</f>
        <v>0</v>
      </c>
      <c r="D126" s="1730" t="s">
        <v>76</v>
      </c>
      <c r="E126" s="1731" t="s">
        <v>3162</v>
      </c>
      <c r="F126" s="1077" t="str">
        <f>IF($C$117=0,"",SUMPRODUCT($C$117:$C$125,F117:F125)/SUM($C$117:$C$125))</f>
        <v/>
      </c>
      <c r="G126" s="1077" t="str">
        <f t="shared" ref="G126:Q126" si="1">IF($C$117=0,"",SUMPRODUCT($C$117:$C$125,G117:G125)/SUM($C$117:$C$125))</f>
        <v/>
      </c>
      <c r="H126" s="1077" t="str">
        <f t="shared" si="1"/>
        <v/>
      </c>
      <c r="I126" s="1077" t="str">
        <f t="shared" si="1"/>
        <v/>
      </c>
      <c r="J126" s="1077" t="str">
        <f t="shared" si="1"/>
        <v/>
      </c>
      <c r="K126" s="1077" t="str">
        <f t="shared" si="1"/>
        <v/>
      </c>
      <c r="L126" s="1077" t="str">
        <f t="shared" si="1"/>
        <v/>
      </c>
      <c r="M126" s="1077" t="str">
        <f t="shared" si="1"/>
        <v/>
      </c>
      <c r="N126" s="1077" t="str">
        <f t="shared" si="1"/>
        <v/>
      </c>
      <c r="O126" s="1077" t="str">
        <f t="shared" si="1"/>
        <v/>
      </c>
      <c r="P126" s="1077" t="str">
        <f t="shared" si="1"/>
        <v/>
      </c>
      <c r="Q126" s="1077" t="str">
        <f t="shared" si="1"/>
        <v/>
      </c>
      <c r="R126" s="1077" t="str">
        <f>IF($C$117=0,"",SUM(F126:Q126))</f>
        <v/>
      </c>
      <c r="S126" s="1695"/>
    </row>
    <row r="127" spans="1:19" ht="16" thickBot="1">
      <c r="A127" s="1102"/>
      <c r="B127" s="1693"/>
      <c r="C127" s="1693"/>
      <c r="D127" s="1693"/>
      <c r="E127" s="1693"/>
      <c r="F127" s="1693"/>
      <c r="G127" s="1693"/>
      <c r="H127" s="1693"/>
      <c r="I127" s="1693"/>
      <c r="J127" s="1693"/>
      <c r="K127" s="1693"/>
      <c r="L127" s="1693"/>
      <c r="M127" s="1693"/>
      <c r="N127" s="1693"/>
      <c r="O127" s="1693"/>
      <c r="P127" s="1693"/>
      <c r="Q127" s="1693"/>
      <c r="R127" s="1693"/>
      <c r="S127" s="1697"/>
    </row>
    <row r="128" spans="1:19" ht="16" thickTop="1"/>
  </sheetData>
  <sheetProtection sheet="1" formatCells="0" formatColumns="0" formatRows="0"/>
  <mergeCells count="23">
    <mergeCell ref="D5:G5"/>
    <mergeCell ref="C31:D31"/>
    <mergeCell ref="F68:G68"/>
    <mergeCell ref="F69:G69"/>
    <mergeCell ref="C36:D36"/>
    <mergeCell ref="C41:D41"/>
    <mergeCell ref="C46:D46"/>
    <mergeCell ref="D60:J65"/>
    <mergeCell ref="D10:G10"/>
    <mergeCell ref="E31:I33"/>
    <mergeCell ref="E36:I37"/>
    <mergeCell ref="E41:I43"/>
    <mergeCell ref="E46:I48"/>
    <mergeCell ref="E38:I38"/>
    <mergeCell ref="D67:G67"/>
    <mergeCell ref="I67:J67"/>
    <mergeCell ref="C114:R114"/>
    <mergeCell ref="D11:G11"/>
    <mergeCell ref="F115:R115"/>
    <mergeCell ref="D7:G7"/>
    <mergeCell ref="I68:J68"/>
    <mergeCell ref="F70:G70"/>
    <mergeCell ref="C81:R81"/>
  </mergeCells>
  <phoneticPr fontId="149" type="noConversion"/>
  <hyperlinks>
    <hyperlink ref="D5:G5" location="'Climate Instructions'!A1" display="Instructions to Retrieve Climate Data" xr:uid="{546F17FC-2A8A-4DA2-942B-17A272EC3D56}"/>
    <hyperlink ref="E38" r:id="rId1" xr:uid="{788925EE-8966-497B-9DF0-95A05397942A}"/>
    <hyperlink ref="D7:G7" r:id="rId2" display="Retrieve climate data from Cimate Data of Hawaii" xr:uid="{1ECE4DEC-8A18-4B15-A81C-29E340B692A4}"/>
  </hyperlinks>
  <pageMargins left="0.7" right="0.7" top="0.75" bottom="0.75" header="0.3" footer="0.3"/>
  <pageSetup orientation="portrait" r:id="rId3"/>
  <drawing r:id="rId4"/>
  <extLst>
    <ext xmlns:x14="http://schemas.microsoft.com/office/spreadsheetml/2009/9/main" uri="{CCE6A557-97BC-4b89-ADB6-D9C93CAAB3DF}">
      <x14:dataValidations xmlns:xm="http://schemas.microsoft.com/office/excel/2006/main" count="3">
        <x14:dataValidation type="list" allowBlank="1" showInputMessage="1" showErrorMessage="1" xr:uid="{3FB0254D-EE6A-458B-ACEF-E60C983FEF32}">
          <x14:formula1>
            <xm:f>ForageProductionModel!$W$30:$W$41</xm:f>
          </x14:formula1>
          <xm:sqref>C31:D31</xm:sqref>
        </x14:dataValidation>
        <x14:dataValidation type="list" allowBlank="1" showInputMessage="1" showErrorMessage="1" xr:uid="{6539BD23-95F9-4219-82A4-FAA8BFD72389}">
          <x14:formula1>
            <xm:f>ForageProductionModel!$AK$185:$AK$186</xm:f>
          </x14:formula1>
          <xm:sqref>C41:D41</xm:sqref>
        </x14:dataValidation>
        <x14:dataValidation type="list" allowBlank="1" showInputMessage="1" showErrorMessage="1" xr:uid="{C3CF57E7-E1B5-4647-9AB0-7F2E6D537858}">
          <x14:formula1>
            <xm:f>ForageProductionModel!$B$52:$B$73</xm:f>
          </x14:formula1>
          <xm:sqref>C46:D46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7255A-5FD0-4D54-82BE-81F237F5D6A0}">
  <sheetPr codeName="Sheet20">
    <tabColor rgb="FF92D050"/>
  </sheetPr>
  <dimension ref="A1:BW1006"/>
  <sheetViews>
    <sheetView topLeftCell="A18" zoomScale="106" zoomScaleNormal="126" workbookViewId="0">
      <selection activeCell="B38" sqref="B38"/>
    </sheetView>
  </sheetViews>
  <sheetFormatPr baseColWidth="10" defaultColWidth="9" defaultRowHeight="15"/>
  <cols>
    <col min="1" max="3" width="9" style="1060"/>
    <col min="4" max="6" width="9" style="1060" customWidth="1"/>
    <col min="7" max="7" width="9" style="1060"/>
    <col min="8" max="11" width="9" style="1060" customWidth="1"/>
    <col min="12" max="13" width="9.1640625" style="1060" customWidth="1"/>
    <col min="14" max="16" width="9" style="1060" customWidth="1"/>
    <col min="17" max="17" width="9" style="1060"/>
    <col min="18" max="20" width="9" style="1060" customWidth="1"/>
    <col min="21" max="26" width="9" style="1060"/>
    <col min="27" max="27" width="9.33203125" style="1060" bestFit="1" customWidth="1"/>
    <col min="28" max="34" width="9" style="1060"/>
    <col min="35" max="35" width="9" style="1060" customWidth="1"/>
    <col min="36" max="38" width="9" style="1060"/>
    <col min="39" max="39" width="9.5" style="1060" bestFit="1" customWidth="1"/>
    <col min="40" max="51" width="9" style="1060"/>
    <col min="52" max="52" width="9" style="1061"/>
    <col min="53" max="53" width="9" style="1172" customWidth="1"/>
    <col min="54" max="54" width="9" style="1152" customWidth="1"/>
    <col min="55" max="55" width="9" style="1097" customWidth="1"/>
    <col min="56" max="61" width="9" style="1061" customWidth="1"/>
    <col min="62" max="63" width="9" style="1060" customWidth="1"/>
    <col min="64" max="65" width="8" style="1060" customWidth="1"/>
    <col min="66" max="66" width="9" style="1171"/>
    <col min="67" max="67" width="13.83203125" style="1060" customWidth="1"/>
    <col min="68" max="16384" width="9" style="1060"/>
  </cols>
  <sheetData>
    <row r="1" spans="1:75">
      <c r="A1" s="1060" t="s">
        <v>2649</v>
      </c>
      <c r="U1" s="1174" t="s">
        <v>2648</v>
      </c>
      <c r="V1" s="1174"/>
      <c r="W1" s="1174"/>
      <c r="X1" s="1174"/>
      <c r="Y1" s="1174"/>
      <c r="Z1" s="1174"/>
      <c r="AA1" s="1174"/>
      <c r="AB1" s="1174"/>
      <c r="AC1" s="1174"/>
      <c r="AD1" s="1174"/>
      <c r="AE1" s="1174"/>
      <c r="AF1" s="1174"/>
      <c r="AG1" s="1174"/>
      <c r="AH1" s="1174"/>
      <c r="AI1" s="1174"/>
      <c r="AJ1" s="1174"/>
      <c r="AK1" s="1174"/>
      <c r="AL1" s="1174"/>
      <c r="AM1" s="1174"/>
      <c r="AN1" s="1174"/>
      <c r="AO1" s="1174"/>
      <c r="AP1" s="1174"/>
      <c r="AQ1" s="1174"/>
      <c r="AR1" s="1174"/>
      <c r="AS1" s="1174"/>
      <c r="AT1" s="1174"/>
      <c r="AU1" s="1174"/>
      <c r="AV1" s="1174"/>
      <c r="AW1" s="1174"/>
      <c r="AY1" s="1060" t="s">
        <v>2647</v>
      </c>
      <c r="BA1" s="1172" t="s">
        <v>2646</v>
      </c>
    </row>
    <row r="2" spans="1:75">
      <c r="U2" s="1241">
        <v>1</v>
      </c>
      <c r="V2" s="1240" t="s">
        <v>2645</v>
      </c>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6"/>
      <c r="AX2" s="1184"/>
      <c r="AY2" s="1241"/>
      <c r="AZ2" s="1244"/>
      <c r="BA2" s="1294"/>
      <c r="BB2" s="1213"/>
      <c r="BC2" s="1335"/>
      <c r="BD2" s="1244"/>
      <c r="BE2" s="1244"/>
      <c r="BF2" s="1244"/>
      <c r="BG2" s="1244"/>
      <c r="BH2" s="1244"/>
      <c r="BI2" s="1244"/>
      <c r="BJ2" s="1203"/>
      <c r="BK2" s="1203"/>
      <c r="BL2" s="1203"/>
      <c r="BM2" s="1203"/>
      <c r="BN2" s="1384"/>
      <c r="BO2" s="1203"/>
      <c r="BP2" s="1203"/>
      <c r="BQ2" s="1203"/>
      <c r="BR2" s="1203"/>
      <c r="BS2" s="1203"/>
      <c r="BT2" s="1203"/>
      <c r="BU2" s="1203"/>
      <c r="BV2" s="1203"/>
      <c r="BW2" s="1206"/>
    </row>
    <row r="3" spans="1:75">
      <c r="A3" s="1180" t="s">
        <v>2597</v>
      </c>
      <c r="B3" s="1174"/>
      <c r="C3" s="1180" t="s">
        <v>2644</v>
      </c>
      <c r="D3" s="1174"/>
      <c r="E3" s="1180" t="s">
        <v>2643</v>
      </c>
      <c r="F3" s="1174"/>
      <c r="G3" s="1180" t="s">
        <v>730</v>
      </c>
      <c r="H3" s="1174"/>
      <c r="J3" s="1174" t="s">
        <v>763</v>
      </c>
      <c r="L3" s="1174"/>
      <c r="U3" s="1184"/>
      <c r="AW3" s="1181"/>
      <c r="AY3" s="1184"/>
      <c r="AZ3" s="1189" t="s">
        <v>2553</v>
      </c>
      <c r="BA3" s="1172" t="s">
        <v>86</v>
      </c>
      <c r="BB3" s="1188" t="s">
        <v>2642</v>
      </c>
      <c r="BC3" s="1187"/>
      <c r="BD3" s="1172" t="s">
        <v>750</v>
      </c>
      <c r="BE3" s="1172" t="s">
        <v>751</v>
      </c>
      <c r="BF3" s="1172" t="s">
        <v>752</v>
      </c>
      <c r="BG3" s="1172" t="s">
        <v>750</v>
      </c>
      <c r="BH3" s="1172" t="s">
        <v>751</v>
      </c>
      <c r="BI3" s="1172" t="s">
        <v>752</v>
      </c>
      <c r="BJ3" s="1185" t="s">
        <v>2641</v>
      </c>
      <c r="BK3" s="1185"/>
      <c r="BL3" s="1185" t="s">
        <v>2640</v>
      </c>
      <c r="BM3" s="1185"/>
      <c r="BN3" s="1186"/>
      <c r="BO3" s="1185"/>
      <c r="BP3" s="1185"/>
      <c r="BQ3" s="1185"/>
      <c r="BR3" s="1185"/>
      <c r="BS3" s="1185"/>
      <c r="BT3" s="1185"/>
      <c r="BU3" s="1185"/>
      <c r="BW3" s="1181"/>
    </row>
    <row r="4" spans="1:75">
      <c r="A4" s="1381" t="str">
        <f>'Step 2. Production Estimate'!C31</f>
        <v>Hawaii Island</v>
      </c>
      <c r="B4" s="1203"/>
      <c r="C4" s="1383">
        <f>'Step 2. Production Estimate'!C36</f>
        <v>417</v>
      </c>
      <c r="D4" s="1203"/>
      <c r="E4" s="1382" t="str">
        <f>'Step 2. Production Estimate'!C41</f>
        <v>Unimproved</v>
      </c>
      <c r="F4" s="1203"/>
      <c r="G4" s="1381" t="str">
        <f>'Step 2. Production Estimate'!C46</f>
        <v>Signal grass</v>
      </c>
      <c r="H4" s="1203"/>
      <c r="J4" s="1156" t="s">
        <v>750</v>
      </c>
      <c r="K4" s="1241">
        <f>IF(E4=AK186,INDEX(BD5:BD1005,MATCH(C4,AZ5:AZ1005,0),1),IF(E4=AK185,INDEX(BG5:BG1005,MATCH(C4,AZ5:AZ1005,0),1)))</f>
        <v>2000</v>
      </c>
      <c r="U4" s="1184"/>
      <c r="W4" s="1174" t="s">
        <v>732</v>
      </c>
      <c r="AA4" s="1174" t="s">
        <v>2639</v>
      </c>
      <c r="AE4" s="1174" t="s">
        <v>735</v>
      </c>
      <c r="AK4" s="1174" t="s">
        <v>736</v>
      </c>
      <c r="AO4" s="1174" t="s">
        <v>1276</v>
      </c>
      <c r="AR4" s="1174" t="s">
        <v>737</v>
      </c>
      <c r="AU4" s="1060" t="s">
        <v>270</v>
      </c>
      <c r="AW4" s="1181"/>
      <c r="AY4" s="1184"/>
      <c r="AZ4" s="1380" t="s">
        <v>2638</v>
      </c>
      <c r="BA4" s="1179" t="s">
        <v>2637</v>
      </c>
      <c r="BB4" s="1379" t="s">
        <v>2636</v>
      </c>
      <c r="BC4" s="1324" t="s">
        <v>2635</v>
      </c>
      <c r="BD4" s="1179" t="s">
        <v>744</v>
      </c>
      <c r="BE4" s="1179" t="s">
        <v>2634</v>
      </c>
      <c r="BF4" s="1179"/>
      <c r="BG4" s="1179" t="s">
        <v>745</v>
      </c>
      <c r="BH4" s="1179" t="s">
        <v>2633</v>
      </c>
      <c r="BI4" s="1179"/>
      <c r="BJ4" s="1377" t="s">
        <v>2632</v>
      </c>
      <c r="BK4" s="1377"/>
      <c r="BL4" s="1377" t="s">
        <v>2632</v>
      </c>
      <c r="BM4" s="1377"/>
      <c r="BN4" s="1378" t="s">
        <v>2631</v>
      </c>
      <c r="BO4" s="1377" t="s">
        <v>2531</v>
      </c>
      <c r="BP4" s="1377"/>
      <c r="BQ4" s="1377"/>
      <c r="BR4" s="1185"/>
      <c r="BS4" s="1185"/>
      <c r="BT4" s="1185"/>
      <c r="BU4" s="1185"/>
      <c r="BW4" s="1181"/>
    </row>
    <row r="5" spans="1:75">
      <c r="J5" s="1156" t="s">
        <v>751</v>
      </c>
      <c r="K5" s="1376">
        <f>IF(E4=AK186,INDEX(BE5:BE1005,MATCH(C4,AZ5:AZ1005,0),1),IF(E4=AK185,INDEX(BH5:BH1005,MATCH(C4,AZ5:AZ1005,0),1)))</f>
        <v>2500</v>
      </c>
      <c r="U5" s="1184"/>
      <c r="W5" s="1060" t="s">
        <v>734</v>
      </c>
      <c r="AA5" s="1060" t="s">
        <v>740</v>
      </c>
      <c r="AE5" s="1060" t="s">
        <v>741</v>
      </c>
      <c r="AH5" s="1374" t="s">
        <v>742</v>
      </c>
      <c r="AK5" s="1060" t="s">
        <v>743</v>
      </c>
      <c r="AW5" s="1181"/>
      <c r="AY5" s="1184"/>
      <c r="AZ5" s="1375">
        <v>8</v>
      </c>
      <c r="BA5" s="1172">
        <v>0</v>
      </c>
      <c r="BB5" s="1188">
        <v>0</v>
      </c>
      <c r="BC5" s="1187">
        <v>7</v>
      </c>
      <c r="BD5" s="1172">
        <v>0</v>
      </c>
      <c r="BE5" s="1172">
        <v>0</v>
      </c>
      <c r="BF5" s="1172">
        <v>0</v>
      </c>
      <c r="BG5" s="1172">
        <v>0</v>
      </c>
      <c r="BH5" s="1172">
        <v>0</v>
      </c>
      <c r="BI5" s="1172">
        <v>0</v>
      </c>
      <c r="BJ5" s="1185"/>
      <c r="BK5" s="1185"/>
      <c r="BL5" s="1185"/>
      <c r="BM5" s="1185"/>
      <c r="BN5" s="1186"/>
      <c r="BO5" s="1185" t="s">
        <v>2630</v>
      </c>
      <c r="BP5" s="1185"/>
      <c r="BQ5" s="1185"/>
      <c r="BR5" s="1185"/>
      <c r="BS5" s="1185"/>
      <c r="BT5" s="1185"/>
      <c r="BU5" s="1185"/>
      <c r="BW5" s="1181"/>
    </row>
    <row r="6" spans="1:75">
      <c r="A6" s="1152"/>
      <c r="B6" s="1152"/>
      <c r="J6" s="1156" t="s">
        <v>752</v>
      </c>
      <c r="K6" s="1184">
        <f>IF(E4=AK186,INDEX(BF5:BF1005,MATCH(C4,AZ5:AZ1005,0),1),IF(E4=AK185,INDEX(BI5:BI1005,MATCH(C4,AZ5:AZ1005,0),1)))</f>
        <v>3000</v>
      </c>
      <c r="U6" s="1184"/>
      <c r="W6" s="1245">
        <f>K5</f>
        <v>2500</v>
      </c>
      <c r="X6" s="1061"/>
      <c r="AA6" s="1060" t="s">
        <v>746</v>
      </c>
      <c r="AE6" s="1060" t="s">
        <v>747</v>
      </c>
      <c r="AH6" s="1374" t="s">
        <v>748</v>
      </c>
      <c r="AW6" s="1181"/>
      <c r="AY6" s="1184"/>
      <c r="AZ6" s="1189">
        <v>10</v>
      </c>
      <c r="BA6" s="1172">
        <v>0</v>
      </c>
      <c r="BB6" s="1188">
        <v>0</v>
      </c>
      <c r="BC6" s="1187">
        <v>7</v>
      </c>
      <c r="BD6" s="1172">
        <v>0</v>
      </c>
      <c r="BE6" s="1172">
        <v>0</v>
      </c>
      <c r="BF6" s="1172">
        <v>0</v>
      </c>
      <c r="BG6" s="1172">
        <v>0</v>
      </c>
      <c r="BH6" s="1172">
        <v>0</v>
      </c>
      <c r="BI6" s="1172">
        <v>0</v>
      </c>
      <c r="BJ6" s="1185"/>
      <c r="BK6" s="1185"/>
      <c r="BL6" s="1185"/>
      <c r="BM6" s="1185"/>
      <c r="BN6" s="1186" t="s">
        <v>2629</v>
      </c>
      <c r="BO6" s="1185" t="s">
        <v>2628</v>
      </c>
      <c r="BP6" s="1185" t="s">
        <v>2627</v>
      </c>
      <c r="BQ6" s="1185"/>
      <c r="BR6" s="1185"/>
      <c r="BS6" s="1185"/>
      <c r="BT6" s="1185"/>
      <c r="BU6" s="1185"/>
      <c r="BW6" s="1181"/>
    </row>
    <row r="7" spans="1:75">
      <c r="U7" s="1184"/>
      <c r="AA7" s="1174" t="s">
        <v>449</v>
      </c>
      <c r="AB7" s="1180" t="s">
        <v>454</v>
      </c>
      <c r="AE7" s="1174" t="s">
        <v>449</v>
      </c>
      <c r="AF7" s="1180" t="s">
        <v>756</v>
      </c>
      <c r="AH7" s="1373" t="s">
        <v>757</v>
      </c>
      <c r="AK7" s="1174" t="s">
        <v>449</v>
      </c>
      <c r="AL7" s="1180" t="s">
        <v>758</v>
      </c>
      <c r="AO7" s="1060" t="s">
        <v>449</v>
      </c>
      <c r="AP7" s="1184" t="s">
        <v>1277</v>
      </c>
      <c r="AR7" s="1174" t="s">
        <v>449</v>
      </c>
      <c r="AS7" s="1180" t="s">
        <v>759</v>
      </c>
      <c r="AW7" s="1181"/>
      <c r="AY7" s="1184"/>
      <c r="AZ7" s="1189">
        <v>11</v>
      </c>
      <c r="BA7" s="1172">
        <v>0</v>
      </c>
      <c r="BB7" s="1188">
        <v>0</v>
      </c>
      <c r="BC7" s="1187">
        <v>7</v>
      </c>
      <c r="BD7" s="1172">
        <v>0</v>
      </c>
      <c r="BE7" s="1172">
        <v>0</v>
      </c>
      <c r="BF7" s="1172">
        <v>0</v>
      </c>
      <c r="BG7" s="1172">
        <v>0</v>
      </c>
      <c r="BH7" s="1172">
        <v>0</v>
      </c>
      <c r="BI7" s="1172">
        <v>0</v>
      </c>
      <c r="BJ7" s="1190"/>
      <c r="BK7" s="1190"/>
      <c r="BL7" s="1190"/>
      <c r="BM7" s="1190"/>
      <c r="BN7" s="1186"/>
      <c r="BO7" s="1190" t="s">
        <v>2626</v>
      </c>
      <c r="BP7" s="1185"/>
      <c r="BQ7" s="1185"/>
      <c r="BR7" s="1185"/>
      <c r="BS7" s="1185"/>
      <c r="BT7" s="1185"/>
      <c r="BU7" s="1185"/>
      <c r="BW7" s="1181"/>
    </row>
    <row r="8" spans="1:75">
      <c r="A8" s="1060" t="s">
        <v>2625</v>
      </c>
      <c r="F8" s="1152"/>
      <c r="U8" s="1184"/>
      <c r="W8" s="1060" t="s">
        <v>761</v>
      </c>
      <c r="AA8" s="1060" t="s">
        <v>276</v>
      </c>
      <c r="AB8" s="1740">
        <v>7.6858152661286094E-2</v>
      </c>
      <c r="AE8" s="1060" t="s">
        <v>276</v>
      </c>
      <c r="AF8" s="1367">
        <f>IF(AND(W$9="No",W$12="No"),AB8*D$22,IF(AND(W$9="Yes",W$12="Yes"),D10*(1-((W$15)/100)),IF(AND(W$9="No",W$12="Yes"),AB8*D$22*(1-((W$15)/100)),IF(AND(W$9="Yes",W$12="No"),D10*D$22))))</f>
        <v>3.8294041632586109</v>
      </c>
      <c r="AG8" s="1203"/>
      <c r="AH8" s="1279">
        <f>D10-AF8</f>
        <v>1.6411732128251191</v>
      </c>
      <c r="AK8" s="1060" t="s">
        <v>276</v>
      </c>
      <c r="AL8" s="1368">
        <f>AF8/AF20</f>
        <v>8.0802592775780349E-2</v>
      </c>
      <c r="AO8" s="1203" t="s">
        <v>276</v>
      </c>
      <c r="AP8" s="1372">
        <f>AVERAGE(AL8,AL19)</f>
        <v>8.2430325126995024E-2</v>
      </c>
      <c r="AR8" s="1060" t="s">
        <v>276</v>
      </c>
      <c r="AS8" s="1371">
        <f>AP8*W$6</f>
        <v>206.07581281748756</v>
      </c>
      <c r="AW8" s="1181"/>
      <c r="AY8" s="1184"/>
      <c r="AZ8" s="1189">
        <v>12</v>
      </c>
      <c r="BA8" s="1172">
        <v>0</v>
      </c>
      <c r="BB8" s="1188"/>
      <c r="BC8" s="1187"/>
      <c r="BD8" s="1172">
        <v>0</v>
      </c>
      <c r="BE8" s="1172">
        <v>0</v>
      </c>
      <c r="BF8" s="1172">
        <v>0</v>
      </c>
      <c r="BG8" s="1172">
        <v>0</v>
      </c>
      <c r="BH8" s="1172">
        <v>0</v>
      </c>
      <c r="BI8" s="1172">
        <v>0</v>
      </c>
      <c r="BJ8" s="1190"/>
      <c r="BK8" s="1190"/>
      <c r="BL8" s="1190"/>
      <c r="BM8" s="1190"/>
      <c r="BN8" s="1186"/>
      <c r="BO8" s="1190" t="s">
        <v>2624</v>
      </c>
      <c r="BP8" s="1185"/>
      <c r="BQ8" s="1185"/>
      <c r="BR8" s="1185"/>
      <c r="BS8" s="1185"/>
      <c r="BT8" s="1185"/>
      <c r="BU8" s="1185"/>
      <c r="BW8" s="1181"/>
    </row>
    <row r="9" spans="1:75">
      <c r="B9" s="1174" t="s">
        <v>449</v>
      </c>
      <c r="C9" s="1174" t="s">
        <v>826</v>
      </c>
      <c r="D9" s="1174" t="s">
        <v>2431</v>
      </c>
      <c r="U9" s="1184"/>
      <c r="W9" s="1369" t="s">
        <v>673</v>
      </c>
      <c r="AA9" s="1060" t="s">
        <v>277</v>
      </c>
      <c r="AB9" s="1740">
        <v>7.226881890594504E-2</v>
      </c>
      <c r="AE9" s="1060" t="s">
        <v>277</v>
      </c>
      <c r="AF9" s="1367">
        <f>IF(AND(W$9="No",W$12="No"),AB9*D$22,IF(AND(W$9="Yes",W$12="Yes"),D11*(1-((W$15)/100)),IF(AND(W$9="No",W$12="Yes"),AB9*D$22*(1-((W$15)/100)),IF(AND(W$9="Yes",W$12="No"),D11*D$22))))</f>
        <v>3.2468650728692152</v>
      </c>
      <c r="AH9" s="1204">
        <f>D11-AF9</f>
        <v>1.3915136026582351</v>
      </c>
      <c r="AK9" s="1060" t="s">
        <v>277</v>
      </c>
      <c r="AL9" s="1368">
        <f>AF9/AF20</f>
        <v>6.8510688633530367E-2</v>
      </c>
      <c r="AO9" s="1060" t="s">
        <v>277</v>
      </c>
      <c r="AP9" s="1361">
        <f>AVERAGE(AL8,AL9)</f>
        <v>7.4656640704655358E-2</v>
      </c>
      <c r="AR9" s="1060" t="s">
        <v>277</v>
      </c>
      <c r="AS9" s="1360">
        <f t="shared" ref="AS9:AS19" si="0">AP9*W$6</f>
        <v>186.64160176163838</v>
      </c>
      <c r="AW9" s="1181"/>
      <c r="AY9" s="1184"/>
      <c r="AZ9" s="1189">
        <v>13</v>
      </c>
      <c r="BA9" s="1172">
        <v>0</v>
      </c>
      <c r="BB9" s="1188"/>
      <c r="BC9" s="1187"/>
      <c r="BD9" s="1172">
        <v>0</v>
      </c>
      <c r="BE9" s="1172">
        <v>0</v>
      </c>
      <c r="BF9" s="1172">
        <v>0</v>
      </c>
      <c r="BG9" s="1172">
        <v>0</v>
      </c>
      <c r="BH9" s="1172">
        <v>0</v>
      </c>
      <c r="BI9" s="1172">
        <v>0</v>
      </c>
      <c r="BJ9" s="1190"/>
      <c r="BK9" s="1190"/>
      <c r="BL9" s="1190"/>
      <c r="BM9" s="1190"/>
      <c r="BN9" s="1186"/>
      <c r="BO9" s="1190" t="s">
        <v>2623</v>
      </c>
      <c r="BP9" s="1190"/>
      <c r="BQ9" s="1185"/>
      <c r="BR9" s="1190"/>
      <c r="BS9" s="1185"/>
      <c r="BT9" s="1185"/>
      <c r="BU9" s="1185"/>
      <c r="BW9" s="1181"/>
    </row>
    <row r="10" spans="1:75">
      <c r="B10" s="1203" t="s">
        <v>276</v>
      </c>
      <c r="C10" s="1291">
        <f>IF(ISNUMBER('Step 2. Production Estimate'!E14),'Step 2. Production Estimate'!E14,VALUE(IF('Step 2. Production Estimate'!E14="","",LEFT('Step 2. Production Estimate'!E14,LEN('Step 2. Production Estimate'!E14)-LEN(" °F")))))</f>
        <v>66.784868143959599</v>
      </c>
      <c r="D10" s="1370">
        <f>IF(ISNUMBER('Step 2. Production Estimate'!H14),'Step 2. Production Estimate'!H14,VALUE(IF('Step 2. Production Estimate'!H14="","",LEFT('Step 2. Production Estimate'!H14,LEN('Step 2. Production Estimate'!H14)-LEN(" °F")))))</f>
        <v>5.47057737608373</v>
      </c>
      <c r="U10" s="1184"/>
      <c r="AA10" s="1060" t="s">
        <v>88</v>
      </c>
      <c r="AB10" s="1740">
        <v>8.3983300552377932E-2</v>
      </c>
      <c r="AE10" s="1060" t="s">
        <v>88</v>
      </c>
      <c r="AF10" s="1367">
        <f t="shared" ref="AF10:AF17" si="1">IF(AND(W$9="No",W$12="No"),AB10*D$22,IF(AND(W$9="Yes",W$12="Yes"),D12+(AH$20/8),IF(AND(W$9="No",W$12="Yes"),AB10*D$22,IF(AND(W$9="Yes",W$12="No"),D12*D$22))))</f>
        <v>6.9143957932301943</v>
      </c>
      <c r="AH10" s="1204"/>
      <c r="AK10" s="1060" t="s">
        <v>88</v>
      </c>
      <c r="AL10" s="1368">
        <f>AF10/AF20</f>
        <v>0.14589766024997591</v>
      </c>
      <c r="AO10" s="1060" t="s">
        <v>88</v>
      </c>
      <c r="AP10" s="1361">
        <f t="shared" ref="AP10:AP19" si="2">AVERAGE(AL10,AL9)</f>
        <v>0.10720417444175315</v>
      </c>
      <c r="AR10" s="1060" t="s">
        <v>88</v>
      </c>
      <c r="AS10" s="1360">
        <f t="shared" si="0"/>
        <v>268.01043610438285</v>
      </c>
      <c r="AW10" s="1181"/>
      <c r="AY10" s="1184"/>
      <c r="AZ10" s="1189">
        <v>14</v>
      </c>
      <c r="BA10" s="1172">
        <v>0</v>
      </c>
      <c r="BB10" s="1188">
        <v>0</v>
      </c>
      <c r="BC10" s="1187">
        <v>7</v>
      </c>
      <c r="BD10" s="1172">
        <v>0</v>
      </c>
      <c r="BE10" s="1172">
        <v>0</v>
      </c>
      <c r="BF10" s="1172">
        <v>0</v>
      </c>
      <c r="BG10" s="1172">
        <v>0</v>
      </c>
      <c r="BH10" s="1172">
        <v>0</v>
      </c>
      <c r="BI10" s="1172">
        <v>0</v>
      </c>
      <c r="BJ10" s="1190"/>
      <c r="BK10" s="1190"/>
      <c r="BL10" s="1190"/>
      <c r="BM10" s="1190"/>
      <c r="BN10" s="1186"/>
      <c r="BO10" s="1190" t="s">
        <v>2622</v>
      </c>
      <c r="BP10" s="1190"/>
      <c r="BQ10" s="1185"/>
      <c r="BR10" s="1190"/>
      <c r="BS10" s="1185"/>
      <c r="BT10" s="1185"/>
      <c r="BU10" s="1185"/>
      <c r="BW10" s="1181"/>
    </row>
    <row r="11" spans="1:75">
      <c r="B11" s="1060" t="s">
        <v>277</v>
      </c>
      <c r="C11" s="1290">
        <f>IF(ISNUMBER('Step 2. Production Estimate'!E15),'Step 2. Production Estimate'!E15,VALUE(IF('Step 2. Production Estimate'!E15="","",LEFT('Step 2. Production Estimate'!E15,LEN('Step 2. Production Estimate'!E15)-LEN(" °F")))))</f>
        <v>66.468070391520797</v>
      </c>
      <c r="D11" s="1363">
        <f>IF(ISNUMBER('Step 2. Production Estimate'!H15),'Step 2. Production Estimate'!H15,VALUE(IF('Step 2. Production Estimate'!H15="","",LEFT('Step 2. Production Estimate'!H15,LEN('Step 2. Production Estimate'!H15)-LEN(" °F")))))</f>
        <v>4.6383786755274503</v>
      </c>
      <c r="U11" s="1184"/>
      <c r="W11" s="1735" t="s">
        <v>766</v>
      </c>
      <c r="AA11" s="1060" t="s">
        <v>89</v>
      </c>
      <c r="AB11" s="1740">
        <v>8.5569597359437519E-2</v>
      </c>
      <c r="AE11" s="1060" t="s">
        <v>89</v>
      </c>
      <c r="AF11" s="1367">
        <f t="shared" si="1"/>
        <v>5.9365163518815738</v>
      </c>
      <c r="AH11" s="1190"/>
      <c r="AK11" s="1060" t="s">
        <v>89</v>
      </c>
      <c r="AL11" s="1368">
        <f>AF11/AF20</f>
        <v>0.12526385119915412</v>
      </c>
      <c r="AO11" s="1060" t="s">
        <v>89</v>
      </c>
      <c r="AP11" s="1361">
        <f t="shared" si="2"/>
        <v>0.13558075572456502</v>
      </c>
      <c r="AR11" s="1060" t="s">
        <v>89</v>
      </c>
      <c r="AS11" s="1360">
        <f t="shared" si="0"/>
        <v>338.95188931141251</v>
      </c>
      <c r="AW11" s="1181"/>
      <c r="AY11" s="1184"/>
      <c r="AZ11" s="1189">
        <v>15</v>
      </c>
      <c r="BA11" s="1172">
        <v>0</v>
      </c>
      <c r="BB11" s="1188">
        <v>0</v>
      </c>
      <c r="BC11" s="1187">
        <v>6.7</v>
      </c>
      <c r="BD11" s="1172">
        <v>0</v>
      </c>
      <c r="BE11" s="1172">
        <v>0</v>
      </c>
      <c r="BF11" s="1172">
        <v>0</v>
      </c>
      <c r="BG11" s="1172">
        <v>0</v>
      </c>
      <c r="BH11" s="1172">
        <v>0</v>
      </c>
      <c r="BI11" s="1172">
        <v>0</v>
      </c>
      <c r="BJ11" s="1190"/>
      <c r="BK11" s="1190"/>
      <c r="BL11" s="1190"/>
      <c r="BM11" s="1190"/>
      <c r="BN11" s="1186"/>
      <c r="BO11" s="1190" t="s">
        <v>2621</v>
      </c>
      <c r="BP11" s="1190"/>
      <c r="BQ11" s="1185"/>
      <c r="BR11" s="1190"/>
      <c r="BS11" s="1185"/>
      <c r="BT11" s="1185"/>
      <c r="BU11" s="1185"/>
      <c r="BW11" s="1181"/>
    </row>
    <row r="12" spans="1:75">
      <c r="B12" s="1060" t="s">
        <v>88</v>
      </c>
      <c r="C12" s="1290">
        <f>IF(ISNUMBER('Step 2. Production Estimate'!E16),'Step 2. Production Estimate'!E16,VALUE(IF('Step 2. Production Estimate'!E16="","",LEFT('Step 2. Production Estimate'!E16,LEN('Step 2. Production Estimate'!E16)-LEN(" °F")))))</f>
        <v>67.077458402421598</v>
      </c>
      <c r="D12" s="1363">
        <f>IF(ISNUMBER('Step 2. Production Estimate'!H16),'Step 2. Production Estimate'!H16,VALUE(IF('Step 2. Production Estimate'!H16="","",LEFT('Step 2. Production Estimate'!H16,LEN('Step 2. Production Estimate'!H16)-LEN(" °F")))))</f>
        <v>6.1689062769657301</v>
      </c>
      <c r="U12" s="1184"/>
      <c r="W12" s="1369" t="s">
        <v>673</v>
      </c>
      <c r="AA12" s="1060" t="s">
        <v>39</v>
      </c>
      <c r="AB12" s="1740">
        <v>9.2042894068531042E-2</v>
      </c>
      <c r="AE12" s="1060" t="s">
        <v>39</v>
      </c>
      <c r="AF12" s="1367">
        <f t="shared" si="1"/>
        <v>4.0267446168394043</v>
      </c>
      <c r="AH12" s="1204"/>
      <c r="AK12" s="1060" t="s">
        <v>39</v>
      </c>
      <c r="AL12" s="1368">
        <f>AF12/AF20</f>
        <v>8.4966587911594837E-2</v>
      </c>
      <c r="AO12" s="1060" t="s">
        <v>39</v>
      </c>
      <c r="AP12" s="1361">
        <f t="shared" si="2"/>
        <v>0.10511521955537448</v>
      </c>
      <c r="AR12" s="1060" t="s">
        <v>39</v>
      </c>
      <c r="AS12" s="1360">
        <f t="shared" si="0"/>
        <v>262.78804888843621</v>
      </c>
      <c r="AW12" s="1181"/>
      <c r="AY12" s="1184"/>
      <c r="AZ12" s="1189">
        <v>16</v>
      </c>
      <c r="BA12" s="1172">
        <v>0</v>
      </c>
      <c r="BB12" s="1188">
        <v>0</v>
      </c>
      <c r="BC12" s="1187">
        <v>6.7</v>
      </c>
      <c r="BD12" s="1172">
        <v>0</v>
      </c>
      <c r="BE12" s="1172">
        <v>0</v>
      </c>
      <c r="BF12" s="1172">
        <v>0</v>
      </c>
      <c r="BG12" s="1172">
        <v>0</v>
      </c>
      <c r="BH12" s="1172">
        <v>0</v>
      </c>
      <c r="BI12" s="1172">
        <v>0</v>
      </c>
      <c r="BJ12" s="1190"/>
      <c r="BK12" s="1190"/>
      <c r="BL12" s="1190"/>
      <c r="BM12" s="1190"/>
      <c r="BN12" s="1186"/>
      <c r="BO12" s="1190" t="s">
        <v>2620</v>
      </c>
      <c r="BP12" s="1190"/>
      <c r="BQ12" s="1185"/>
      <c r="BR12" s="1190"/>
      <c r="BS12" s="1185"/>
      <c r="BT12" s="1185"/>
      <c r="BU12" s="1185"/>
      <c r="BW12" s="1181"/>
    </row>
    <row r="13" spans="1:75">
      <c r="B13" s="1060" t="s">
        <v>89</v>
      </c>
      <c r="C13" s="1290">
        <f>IF(ISNUMBER('Step 2. Production Estimate'!E17),'Step 2. Production Estimate'!E17,VALUE(IF('Step 2. Production Estimate'!E17="","",LEFT('Step 2. Production Estimate'!E17,LEN('Step 2. Production Estimate'!E17)-LEN(" °F")))))</f>
        <v>68.113705654714096</v>
      </c>
      <c r="D13" s="1363">
        <f>IF(ISNUMBER('Step 2. Production Estimate'!H17),'Step 2. Production Estimate'!H17,VALUE(IF('Step 2. Production Estimate'!H17="","",LEFT('Step 2. Production Estimate'!H17,LEN('Step 2. Production Estimate'!H17)-LEN(" °F")))))</f>
        <v>5.1910268356171096</v>
      </c>
      <c r="E13" s="1152"/>
      <c r="U13" s="1184"/>
      <c r="AA13" s="1060" t="s">
        <v>90</v>
      </c>
      <c r="AB13" s="1740">
        <v>9.0882372889019514E-2</v>
      </c>
      <c r="AE13" s="1060" t="s">
        <v>90</v>
      </c>
      <c r="AF13" s="1367">
        <f t="shared" si="1"/>
        <v>3.4112371415907146</v>
      </c>
      <c r="AH13" s="1204"/>
      <c r="AK13" s="1060" t="s">
        <v>90</v>
      </c>
      <c r="AL13" s="1368">
        <f>AF13/AF20</f>
        <v>7.1979032210332125E-2</v>
      </c>
      <c r="AO13" s="1060" t="s">
        <v>90</v>
      </c>
      <c r="AP13" s="1361">
        <f t="shared" si="2"/>
        <v>7.8472810060963488E-2</v>
      </c>
      <c r="AR13" s="1060" t="s">
        <v>90</v>
      </c>
      <c r="AS13" s="1360">
        <f t="shared" si="0"/>
        <v>196.18202515240873</v>
      </c>
      <c r="AW13" s="1181"/>
      <c r="AY13" s="1184"/>
      <c r="AZ13" s="1189">
        <v>17</v>
      </c>
      <c r="BA13" s="1172">
        <v>0</v>
      </c>
      <c r="BB13" s="1188"/>
      <c r="BC13" s="1187"/>
      <c r="BD13" s="1172">
        <v>0</v>
      </c>
      <c r="BE13" s="1172">
        <v>0</v>
      </c>
      <c r="BF13" s="1172">
        <v>0</v>
      </c>
      <c r="BG13" s="1172">
        <v>0</v>
      </c>
      <c r="BH13" s="1172">
        <v>0</v>
      </c>
      <c r="BI13" s="1172">
        <v>0</v>
      </c>
      <c r="BJ13" s="1190"/>
      <c r="BK13" s="1190"/>
      <c r="BL13" s="1190"/>
      <c r="BM13" s="1190"/>
      <c r="BN13" s="1186"/>
      <c r="BO13" s="1190" t="s">
        <v>2619</v>
      </c>
      <c r="BP13" s="1190"/>
      <c r="BQ13" s="1190"/>
      <c r="BR13" s="1190"/>
      <c r="BS13" s="1185"/>
      <c r="BT13" s="1185"/>
      <c r="BU13" s="1185"/>
      <c r="BW13" s="1181"/>
    </row>
    <row r="14" spans="1:75">
      <c r="B14" s="1060" t="s">
        <v>39</v>
      </c>
      <c r="C14" s="1290">
        <f>IF(ISNUMBER('Step 2. Production Estimate'!E18),'Step 2. Production Estimate'!E18,VALUE(IF('Step 2. Production Estimate'!E18="","",LEFT('Step 2. Production Estimate'!E18,LEN('Step 2. Production Estimate'!E18)-LEN(" °F")))))</f>
        <v>69.546512753595593</v>
      </c>
      <c r="D14" s="1363">
        <f>IF(ISNUMBER('Step 2. Production Estimate'!H18),'Step 2. Production Estimate'!H18,VALUE(IF('Step 2. Production Estimate'!H18="","",LEFT('Step 2. Production Estimate'!H18,LEN('Step 2. Production Estimate'!H18)-LEN(" °F")))))</f>
        <v>3.2812551005749402</v>
      </c>
      <c r="U14" s="1184"/>
      <c r="W14" s="1735" t="s">
        <v>2618</v>
      </c>
      <c r="AA14" s="1060" t="s">
        <v>91</v>
      </c>
      <c r="AB14" s="1740">
        <v>9.309414539672492E-2</v>
      </c>
      <c r="AE14" s="1060" t="s">
        <v>91</v>
      </c>
      <c r="AF14" s="1367">
        <f t="shared" si="1"/>
        <v>3.7182546248731647</v>
      </c>
      <c r="AH14" s="1204"/>
      <c r="AK14" s="1060" t="s">
        <v>91</v>
      </c>
      <c r="AL14" s="1368">
        <f>AF14/AF20</f>
        <v>7.8457274678112462E-2</v>
      </c>
      <c r="AO14" s="1060" t="s">
        <v>91</v>
      </c>
      <c r="AP14" s="1361">
        <f t="shared" si="2"/>
        <v>7.5218153444222294E-2</v>
      </c>
      <c r="AR14" s="1060" t="s">
        <v>91</v>
      </c>
      <c r="AS14" s="1360">
        <f t="shared" si="0"/>
        <v>188.04538361055575</v>
      </c>
      <c r="AW14" s="1181"/>
      <c r="AY14" s="1184"/>
      <c r="AZ14" s="1189">
        <v>19</v>
      </c>
      <c r="BA14" s="1172">
        <v>0</v>
      </c>
      <c r="BB14" s="1188"/>
      <c r="BC14" s="1187"/>
      <c r="BD14" s="1172">
        <v>0</v>
      </c>
      <c r="BE14" s="1172">
        <v>0</v>
      </c>
      <c r="BF14" s="1172">
        <v>0</v>
      </c>
      <c r="BG14" s="1172">
        <v>0</v>
      </c>
      <c r="BH14" s="1172">
        <v>0</v>
      </c>
      <c r="BI14" s="1172">
        <v>0</v>
      </c>
      <c r="BJ14" s="1190"/>
      <c r="BK14" s="1190"/>
      <c r="BL14" s="1190"/>
      <c r="BM14" s="1190"/>
      <c r="BN14" s="1186"/>
      <c r="BO14" s="1190" t="s">
        <v>2617</v>
      </c>
      <c r="BP14" s="1190"/>
      <c r="BQ14" s="1190"/>
      <c r="BR14" s="1190"/>
      <c r="BS14" s="1185"/>
      <c r="BT14" s="1185"/>
      <c r="BU14" s="1185"/>
      <c r="BW14" s="1181"/>
    </row>
    <row r="15" spans="1:75">
      <c r="B15" s="1060" t="s">
        <v>90</v>
      </c>
      <c r="C15" s="1290">
        <f>IF(ISNUMBER('Step 2. Production Estimate'!E19),'Step 2. Production Estimate'!E19,VALUE(IF('Step 2. Production Estimate'!E19="","",LEFT('Step 2. Production Estimate'!E19,LEN('Step 2. Production Estimate'!E19)-LEN(" °F")))))</f>
        <v>70.685482095356903</v>
      </c>
      <c r="D15" s="1363">
        <f>IF(ISNUMBER('Step 2. Production Estimate'!H19),'Step 2. Production Estimate'!H19,VALUE(IF('Step 2. Production Estimate'!H19="","",LEFT('Step 2. Production Estimate'!H19,LEN('Step 2. Production Estimate'!H19)-LEN(" °F")))))</f>
        <v>2.66574762532625</v>
      </c>
      <c r="P15" s="1061"/>
      <c r="U15" s="1184"/>
      <c r="W15" s="1369">
        <v>30</v>
      </c>
      <c r="AA15" s="1060" t="s">
        <v>92</v>
      </c>
      <c r="AB15" s="1740">
        <v>8.9940391412143272E-2</v>
      </c>
      <c r="AE15" s="1060" t="s">
        <v>92</v>
      </c>
      <c r="AF15" s="1367">
        <f t="shared" si="1"/>
        <v>3.5607338679216847</v>
      </c>
      <c r="AH15" s="1204"/>
      <c r="AK15" s="1060" t="s">
        <v>92</v>
      </c>
      <c r="AL15" s="1368">
        <f>AF15/AF20</f>
        <v>7.5133497653006753E-2</v>
      </c>
      <c r="AO15" s="1060" t="s">
        <v>92</v>
      </c>
      <c r="AP15" s="1361">
        <f t="shared" si="2"/>
        <v>7.6795386165559615E-2</v>
      </c>
      <c r="AR15" s="1060" t="s">
        <v>92</v>
      </c>
      <c r="AS15" s="1360">
        <f t="shared" si="0"/>
        <v>191.98846541389904</v>
      </c>
      <c r="AW15" s="1181"/>
      <c r="AY15" s="1184"/>
      <c r="AZ15" s="1189">
        <v>20</v>
      </c>
      <c r="BA15" s="1172">
        <v>0</v>
      </c>
      <c r="BB15" s="1188"/>
      <c r="BC15" s="1187"/>
      <c r="BD15" s="1172">
        <v>0</v>
      </c>
      <c r="BE15" s="1172">
        <v>0</v>
      </c>
      <c r="BF15" s="1172">
        <v>0</v>
      </c>
      <c r="BG15" s="1172">
        <v>0</v>
      </c>
      <c r="BH15" s="1172">
        <v>0</v>
      </c>
      <c r="BI15" s="1172">
        <v>0</v>
      </c>
      <c r="BJ15" s="1190"/>
      <c r="BK15" s="1190"/>
      <c r="BL15" s="1190"/>
      <c r="BM15" s="1190"/>
      <c r="BN15" s="1186"/>
      <c r="BO15" s="1190" t="s">
        <v>2616</v>
      </c>
      <c r="BP15" s="1190"/>
      <c r="BQ15" s="1190"/>
      <c r="BR15" s="1190"/>
      <c r="BS15" s="1185"/>
      <c r="BT15" s="1185"/>
      <c r="BU15" s="1185"/>
      <c r="BW15" s="1181"/>
    </row>
    <row r="16" spans="1:75">
      <c r="B16" s="1060" t="s">
        <v>91</v>
      </c>
      <c r="C16" s="1290">
        <f>IF(ISNUMBER('Step 2. Production Estimate'!E20),'Step 2. Production Estimate'!E20,VALUE(IF('Step 2. Production Estimate'!E20="","",LEFT('Step 2. Production Estimate'!E20,LEN('Step 2. Production Estimate'!E20)-LEN(" °F")))))</f>
        <v>71.728626410601905</v>
      </c>
      <c r="D16" s="1363">
        <f>IF(ISNUMBER('Step 2. Production Estimate'!H20),'Step 2. Production Estimate'!H20,VALUE(IF('Step 2. Production Estimate'!H20="","",LEFT('Step 2. Production Estimate'!H20,LEN('Step 2. Production Estimate'!H20)-LEN(" °F")))))</f>
        <v>2.9727651086087001</v>
      </c>
      <c r="E16" s="1152"/>
      <c r="U16" s="1184"/>
      <c r="AA16" s="1060" t="s">
        <v>93</v>
      </c>
      <c r="AB16" s="1740">
        <v>8.2969728483259106E-2</v>
      </c>
      <c r="AE16" s="1060" t="s">
        <v>93</v>
      </c>
      <c r="AF16" s="1367">
        <f t="shared" si="1"/>
        <v>2.5950823754721144</v>
      </c>
      <c r="AH16" s="1204"/>
      <c r="AK16" s="1060" t="s">
        <v>93</v>
      </c>
      <c r="AL16" s="1368">
        <f>AF16/AF20</f>
        <v>5.4757705236953606E-2</v>
      </c>
      <c r="AO16" s="1060" t="s">
        <v>93</v>
      </c>
      <c r="AP16" s="1361">
        <f t="shared" si="2"/>
        <v>6.4945601444980183E-2</v>
      </c>
      <c r="AR16" s="1060" t="s">
        <v>93</v>
      </c>
      <c r="AS16" s="1360">
        <f t="shared" si="0"/>
        <v>162.36400361245046</v>
      </c>
      <c r="AW16" s="1181"/>
      <c r="AY16" s="1184"/>
      <c r="AZ16" s="1189">
        <v>21</v>
      </c>
      <c r="BA16" s="1172">
        <v>0</v>
      </c>
      <c r="BB16" s="1188"/>
      <c r="BC16" s="1187"/>
      <c r="BD16" s="1172">
        <v>0</v>
      </c>
      <c r="BE16" s="1172">
        <v>0</v>
      </c>
      <c r="BF16" s="1172">
        <v>0</v>
      </c>
      <c r="BG16" s="1172">
        <v>0</v>
      </c>
      <c r="BH16" s="1172">
        <v>0</v>
      </c>
      <c r="BI16" s="1172">
        <v>0</v>
      </c>
      <c r="BJ16" s="1190"/>
      <c r="BK16" s="1190"/>
      <c r="BL16" s="1190"/>
      <c r="BM16" s="1190"/>
      <c r="BN16" s="1186"/>
      <c r="BO16" s="1190" t="s">
        <v>2615</v>
      </c>
      <c r="BP16" s="1190"/>
      <c r="BQ16" s="1185"/>
      <c r="BR16" s="1190"/>
      <c r="BS16" s="1185"/>
      <c r="BT16" s="1185"/>
      <c r="BU16" s="1185"/>
      <c r="BW16" s="1181"/>
    </row>
    <row r="17" spans="1:75">
      <c r="B17" s="1060" t="s">
        <v>92</v>
      </c>
      <c r="C17" s="1290">
        <f>IF(ISNUMBER('Step 2. Production Estimate'!E21),'Step 2. Production Estimate'!E21,VALUE(IF('Step 2. Production Estimate'!E21="","",LEFT('Step 2. Production Estimate'!E21,LEN('Step 2. Production Estimate'!E21)-LEN(" °F")))))</f>
        <v>72.299799041621696</v>
      </c>
      <c r="D17" s="1363">
        <f>IF(ISNUMBER('Step 2. Production Estimate'!H21),'Step 2. Production Estimate'!H21,VALUE(IF('Step 2. Production Estimate'!H21="","",LEFT('Step 2. Production Estimate'!H21,LEN('Step 2. Production Estimate'!H21)-LEN(" °F")))))</f>
        <v>2.8152443516572201</v>
      </c>
      <c r="E17" s="1152"/>
      <c r="U17" s="1184"/>
      <c r="W17" s="1174" t="s">
        <v>2614</v>
      </c>
      <c r="AA17" s="1060" t="s">
        <v>94</v>
      </c>
      <c r="AB17" s="1740">
        <v>8.12967693803269E-2</v>
      </c>
      <c r="AE17" s="1060" t="s">
        <v>94</v>
      </c>
      <c r="AF17" s="1367">
        <f t="shared" si="1"/>
        <v>3.3133260506049944</v>
      </c>
      <c r="AH17" s="1204"/>
      <c r="AK17" s="1060" t="s">
        <v>94</v>
      </c>
      <c r="AL17" s="1368">
        <f>AF17/AF20</f>
        <v>6.9913052837076495E-2</v>
      </c>
      <c r="AO17" s="1060" t="s">
        <v>94</v>
      </c>
      <c r="AP17" s="1361">
        <f t="shared" si="2"/>
        <v>6.2335379037015054E-2</v>
      </c>
      <c r="AR17" s="1060" t="s">
        <v>94</v>
      </c>
      <c r="AS17" s="1360">
        <f t="shared" si="0"/>
        <v>155.83844759253765</v>
      </c>
      <c r="AW17" s="1181"/>
      <c r="AY17" s="1184"/>
      <c r="AZ17" s="1189">
        <v>22</v>
      </c>
      <c r="BA17" s="1172">
        <v>0</v>
      </c>
      <c r="BB17" s="1188"/>
      <c r="BC17" s="1187"/>
      <c r="BD17" s="1172">
        <v>0</v>
      </c>
      <c r="BE17" s="1172">
        <v>0</v>
      </c>
      <c r="BF17" s="1172">
        <v>0</v>
      </c>
      <c r="BG17" s="1172">
        <v>0</v>
      </c>
      <c r="BH17" s="1172">
        <v>0</v>
      </c>
      <c r="BI17" s="1172">
        <v>0</v>
      </c>
      <c r="BJ17" s="1190"/>
      <c r="BK17" s="1190"/>
      <c r="BL17" s="1190"/>
      <c r="BM17" s="1190"/>
      <c r="BN17" s="1186"/>
      <c r="BO17" s="1190" t="s">
        <v>2613</v>
      </c>
      <c r="BP17" s="1190"/>
      <c r="BQ17" s="1190"/>
      <c r="BR17" s="1190"/>
      <c r="BS17" s="1185"/>
      <c r="BT17" s="1185"/>
      <c r="BU17" s="1185"/>
      <c r="BW17" s="1181"/>
    </row>
    <row r="18" spans="1:75">
      <c r="B18" s="1060" t="s">
        <v>93</v>
      </c>
      <c r="C18" s="1290">
        <f>IF(ISNUMBER('Step 2. Production Estimate'!E22),'Step 2. Production Estimate'!E22,VALUE(IF('Step 2. Production Estimate'!E22="","",LEFT('Step 2. Production Estimate'!E22,LEN('Step 2. Production Estimate'!E22)-LEN(" °F")))))</f>
        <v>72.047562554001004</v>
      </c>
      <c r="D18" s="1363">
        <f>IF(ISNUMBER('Step 2. Production Estimate'!H22),'Step 2. Production Estimate'!H22,VALUE(IF('Step 2. Production Estimate'!H22="","",LEFT('Step 2. Production Estimate'!H22,LEN('Step 2. Production Estimate'!H22)-LEN(" °F")))))</f>
        <v>1.84959285920765</v>
      </c>
      <c r="E18" s="1152"/>
      <c r="U18" s="1184"/>
      <c r="W18" s="1060" t="s">
        <v>673</v>
      </c>
      <c r="AA18" s="1060" t="s">
        <v>95</v>
      </c>
      <c r="AB18" s="1740">
        <v>7.5170121854723854E-2</v>
      </c>
      <c r="AE18" s="1060" t="s">
        <v>95</v>
      </c>
      <c r="AF18" s="1367">
        <f>IF(AND(W$9="No",W$12="No"),AB18*D$22,IF(AND(W$9="Yes",W$12="Yes"),D20*(1-((W$15)/100)),IF(AND(W$9="No",W$12="Yes"),AB18*D$22*(1-((W$15)/100)),IF(AND(W$9="Yes",W$12="No"),D20*D$22))))</f>
        <v>2.8558476113599736</v>
      </c>
      <c r="AH18" s="1204">
        <f>D20-AF18</f>
        <v>1.2239346905828463</v>
      </c>
      <c r="AK18" s="1060" t="s">
        <v>95</v>
      </c>
      <c r="AL18" s="1368">
        <f>AF18/AF20</f>
        <v>6.0259999136273217E-2</v>
      </c>
      <c r="AO18" s="1060" t="s">
        <v>95</v>
      </c>
      <c r="AP18" s="1361">
        <f t="shared" si="2"/>
        <v>6.5086525986674859E-2</v>
      </c>
      <c r="AR18" s="1060" t="s">
        <v>95</v>
      </c>
      <c r="AS18" s="1360">
        <f t="shared" si="0"/>
        <v>162.71631496668715</v>
      </c>
      <c r="AW18" s="1181"/>
      <c r="AY18" s="1184"/>
      <c r="AZ18" s="1189">
        <v>23</v>
      </c>
      <c r="BA18" s="1172">
        <v>0</v>
      </c>
      <c r="BB18" s="1188"/>
      <c r="BC18" s="1187"/>
      <c r="BD18" s="1172">
        <v>0</v>
      </c>
      <c r="BE18" s="1172">
        <v>0</v>
      </c>
      <c r="BF18" s="1172">
        <v>0</v>
      </c>
      <c r="BG18" s="1172">
        <v>0</v>
      </c>
      <c r="BH18" s="1172">
        <v>0</v>
      </c>
      <c r="BI18" s="1172">
        <v>0</v>
      </c>
      <c r="BJ18" s="1190"/>
      <c r="BK18" s="1190"/>
      <c r="BL18" s="1190"/>
      <c r="BM18" s="1190"/>
      <c r="BN18" s="1186"/>
      <c r="BO18" s="1190" t="s">
        <v>2612</v>
      </c>
      <c r="BP18" s="1190"/>
      <c r="BQ18" s="1190"/>
      <c r="BR18" s="1190"/>
      <c r="BS18" s="1185"/>
      <c r="BT18" s="1185"/>
      <c r="BU18" s="1185"/>
      <c r="BW18" s="1181"/>
    </row>
    <row r="19" spans="1:75">
      <c r="B19" s="1060" t="s">
        <v>94</v>
      </c>
      <c r="C19" s="1290">
        <f>IF(ISNUMBER('Step 2. Production Estimate'!E23),'Step 2. Production Estimate'!E23,VALUE(IF('Step 2. Production Estimate'!E23="","",LEFT('Step 2. Production Estimate'!E23,LEN('Step 2. Production Estimate'!E23)-LEN(" °F")))))</f>
        <v>71.442068553149198</v>
      </c>
      <c r="D19" s="1363">
        <f>IF(ISNUMBER('Step 2. Production Estimate'!H23),'Step 2. Production Estimate'!H23,VALUE(IF('Step 2. Production Estimate'!H23="","",LEFT('Step 2. Production Estimate'!H23,LEN('Step 2. Production Estimate'!H23)-LEN(" °F")))))</f>
        <v>2.5678365343405298</v>
      </c>
      <c r="E19" s="1152"/>
      <c r="U19" s="1184"/>
      <c r="W19" s="1060" t="s">
        <v>674</v>
      </c>
      <c r="AA19" s="1174" t="s">
        <v>96</v>
      </c>
      <c r="AB19" s="1741">
        <v>7.5923707036224836E-2</v>
      </c>
      <c r="AE19" s="1174" t="s">
        <v>96</v>
      </c>
      <c r="AF19" s="1367">
        <f>IF(AND(W$9="No",W$12="No"),AB19*D$22,IF(AND(W$9="Yes",W$12="Yes"),D21*(1-((W$15)/100)),IF(AND(W$9="No",W$12="Yes"),AB19*D$22*(1-((W$15)/100)),IF(AND(W$9="Yes",W$12="No"),D21*D$22))))</f>
        <v>3.9836874561155344</v>
      </c>
      <c r="AG19" s="1174"/>
      <c r="AH19" s="1273">
        <f>D21-AF19</f>
        <v>1.7072946240495153</v>
      </c>
      <c r="AK19" s="1174" t="s">
        <v>96</v>
      </c>
      <c r="AL19" s="1366">
        <f>AF19/AF20</f>
        <v>8.4058057478209713E-2</v>
      </c>
      <c r="AO19" s="1174" t="s">
        <v>96</v>
      </c>
      <c r="AP19" s="1365">
        <f t="shared" si="2"/>
        <v>7.2159028307241468E-2</v>
      </c>
      <c r="AR19" s="1174" t="s">
        <v>96</v>
      </c>
      <c r="AS19" s="1364">
        <f t="shared" si="0"/>
        <v>180.39757076810366</v>
      </c>
      <c r="AW19" s="1181"/>
      <c r="AY19" s="1184"/>
      <c r="AZ19" s="1189">
        <v>24</v>
      </c>
      <c r="BA19" s="1172">
        <v>0</v>
      </c>
      <c r="BB19" s="1188"/>
      <c r="BC19" s="1187"/>
      <c r="BD19" s="1172">
        <v>0</v>
      </c>
      <c r="BE19" s="1172">
        <v>0</v>
      </c>
      <c r="BF19" s="1172">
        <v>0</v>
      </c>
      <c r="BG19" s="1172">
        <v>0</v>
      </c>
      <c r="BH19" s="1172">
        <v>0</v>
      </c>
      <c r="BI19" s="1172">
        <v>0</v>
      </c>
      <c r="BJ19" s="1185"/>
      <c r="BK19" s="1185"/>
      <c r="BL19" s="1185"/>
      <c r="BM19" s="1185"/>
      <c r="BN19" s="1186"/>
      <c r="BO19" s="1185" t="s">
        <v>2611</v>
      </c>
      <c r="BP19" s="1190"/>
      <c r="BQ19" s="1185"/>
      <c r="BR19" s="1190"/>
      <c r="BS19" s="1185"/>
      <c r="BT19" s="1185"/>
      <c r="BU19" s="1185"/>
      <c r="BW19" s="1181"/>
    </row>
    <row r="20" spans="1:75">
      <c r="B20" s="1060" t="s">
        <v>95</v>
      </c>
      <c r="C20" s="1290">
        <f>IF(ISNUMBER('Step 2. Production Estimate'!E24),'Step 2. Production Estimate'!E24,VALUE(IF('Step 2. Production Estimate'!E24="","",LEFT('Step 2. Production Estimate'!E24,LEN('Step 2. Production Estimate'!E24)-LEN(" °F")))))</f>
        <v>69.865493475437304</v>
      </c>
      <c r="D20" s="1363">
        <f>IF(ISNUMBER('Step 2. Production Estimate'!H24),'Step 2. Production Estimate'!H24,VALUE(IF('Step 2. Production Estimate'!H24="","",LEFT('Step 2. Production Estimate'!H24,LEN('Step 2. Production Estimate'!H24)-LEN(" °F")))))</f>
        <v>4.0797823019428199</v>
      </c>
      <c r="E20" s="1152"/>
      <c r="U20" s="1184"/>
      <c r="AA20" s="1060" t="s">
        <v>76</v>
      </c>
      <c r="AB20" s="1361">
        <f>SUM(AB8:AB19)</f>
        <v>1</v>
      </c>
      <c r="AE20" s="1060" t="s">
        <v>76</v>
      </c>
      <c r="AF20" s="1362">
        <f>SUM(AF8:AF19)</f>
        <v>47.392095126017182</v>
      </c>
      <c r="AH20" s="1097">
        <f>SUM(AH8:AH19)</f>
        <v>5.9639161301157158</v>
      </c>
      <c r="AK20" s="1060" t="s">
        <v>76</v>
      </c>
      <c r="AL20" s="1361">
        <f>SUM(AL8:AL19)</f>
        <v>0.99999999999999989</v>
      </c>
      <c r="AO20" s="1060" t="s">
        <v>76</v>
      </c>
      <c r="AP20" s="1361">
        <f>SUM(AP8:AP19)</f>
        <v>1</v>
      </c>
      <c r="AR20" s="1060" t="s">
        <v>76</v>
      </c>
      <c r="AS20" s="1360">
        <f>SUM(AS8:AS19)</f>
        <v>2500</v>
      </c>
      <c r="AW20" s="1181"/>
      <c r="AY20" s="1184"/>
      <c r="AZ20" s="1189">
        <v>25</v>
      </c>
      <c r="BA20" s="1172">
        <v>0</v>
      </c>
      <c r="BB20" s="1188"/>
      <c r="BC20" s="1187"/>
      <c r="BD20" s="1172">
        <v>0</v>
      </c>
      <c r="BE20" s="1172">
        <v>0</v>
      </c>
      <c r="BF20" s="1172">
        <v>0</v>
      </c>
      <c r="BG20" s="1172">
        <v>0</v>
      </c>
      <c r="BH20" s="1172">
        <v>0</v>
      </c>
      <c r="BI20" s="1172">
        <v>0</v>
      </c>
      <c r="BJ20" s="1185"/>
      <c r="BK20" s="1185"/>
      <c r="BL20" s="1185"/>
      <c r="BM20" s="1185"/>
      <c r="BN20" s="1186"/>
      <c r="BO20" s="1185" t="s">
        <v>2610</v>
      </c>
      <c r="BP20" s="1190"/>
      <c r="BQ20" s="1185"/>
      <c r="BR20" s="1190"/>
      <c r="BS20" s="1185"/>
      <c r="BT20" s="1185"/>
      <c r="BU20" s="1185"/>
      <c r="BW20" s="1181"/>
    </row>
    <row r="21" spans="1:75">
      <c r="B21" s="1174" t="s">
        <v>96</v>
      </c>
      <c r="C21" s="1289">
        <f>IF(ISNUMBER('Step 2. Production Estimate'!E25),'Step 2. Production Estimate'!E25,VALUE(IF('Step 2. Production Estimate'!E25="","",LEFT('Step 2. Production Estimate'!E25,LEN('Step 2. Production Estimate'!E25)-LEN(" °F")))))</f>
        <v>67.906409179490595</v>
      </c>
      <c r="D21" s="1359">
        <f>IF(ISNUMBER('Step 2. Production Estimate'!H25),'Step 2. Production Estimate'!H25,VALUE(IF('Step 2. Production Estimate'!H25="","",LEFT('Step 2. Production Estimate'!H25,LEN('Step 2. Production Estimate'!H25)-LEN(" °F")))))</f>
        <v>5.6909820801650497</v>
      </c>
      <c r="E21" s="1152"/>
      <c r="U21" s="1184"/>
      <c r="AW21" s="1181"/>
      <c r="AY21" s="1184"/>
      <c r="AZ21" s="1189">
        <v>26</v>
      </c>
      <c r="BA21" s="1172">
        <v>0</v>
      </c>
      <c r="BB21" s="1188"/>
      <c r="BC21" s="1187"/>
      <c r="BD21" s="1172">
        <v>0</v>
      </c>
      <c r="BE21" s="1172">
        <v>0</v>
      </c>
      <c r="BF21" s="1172">
        <v>0</v>
      </c>
      <c r="BG21" s="1172">
        <v>0</v>
      </c>
      <c r="BH21" s="1172">
        <v>0</v>
      </c>
      <c r="BI21" s="1172">
        <v>0</v>
      </c>
      <c r="BJ21" s="1185"/>
      <c r="BK21" s="1185"/>
      <c r="BL21" s="1185"/>
      <c r="BM21" s="1185"/>
      <c r="BN21" s="1186"/>
      <c r="BO21" s="1185" t="s">
        <v>2609</v>
      </c>
      <c r="BP21" s="1185"/>
      <c r="BQ21" s="1185"/>
      <c r="BR21" s="1185"/>
      <c r="BS21" s="1185"/>
      <c r="BT21" s="1185"/>
      <c r="BU21" s="1185"/>
      <c r="BW21" s="1181"/>
    </row>
    <row r="22" spans="1:75">
      <c r="B22" s="1206" t="s">
        <v>676</v>
      </c>
      <c r="C22" s="1152"/>
      <c r="D22" s="1358">
        <f>SUM(D10:D21)</f>
        <v>47.392095126017175</v>
      </c>
      <c r="E22" s="1152"/>
      <c r="U22" s="1184"/>
      <c r="W22" s="1197" t="s">
        <v>2199</v>
      </c>
      <c r="AW22" s="1181"/>
      <c r="AY22" s="1184"/>
      <c r="AZ22" s="1189">
        <v>27</v>
      </c>
      <c r="BA22" s="1172">
        <v>0</v>
      </c>
      <c r="BB22" s="1188"/>
      <c r="BC22" s="1187"/>
      <c r="BD22" s="1172">
        <v>0</v>
      </c>
      <c r="BE22" s="1172">
        <v>0</v>
      </c>
      <c r="BF22" s="1172">
        <v>0</v>
      </c>
      <c r="BG22" s="1172">
        <v>0</v>
      </c>
      <c r="BH22" s="1172">
        <v>0</v>
      </c>
      <c r="BI22" s="1172">
        <v>0</v>
      </c>
      <c r="BJ22" s="1185"/>
      <c r="BK22" s="1185"/>
      <c r="BL22" s="1185"/>
      <c r="BM22" s="1185"/>
      <c r="BN22" s="1186"/>
      <c r="BO22" s="1185" t="s">
        <v>2608</v>
      </c>
      <c r="BP22" s="1185"/>
      <c r="BQ22" s="1185"/>
      <c r="BR22" s="1185"/>
      <c r="BS22" s="1185"/>
      <c r="BT22" s="1185"/>
      <c r="BU22" s="1185"/>
      <c r="BW22" s="1181"/>
    </row>
    <row r="23" spans="1:75">
      <c r="F23" s="1152"/>
      <c r="G23" s="1152"/>
      <c r="U23" s="1184"/>
      <c r="W23" s="1060" t="s">
        <v>2607</v>
      </c>
      <c r="AW23" s="1181"/>
      <c r="AY23" s="1184"/>
      <c r="AZ23" s="1189">
        <v>100</v>
      </c>
      <c r="BA23" s="1185">
        <v>6</v>
      </c>
      <c r="BB23" s="1188">
        <v>18.63</v>
      </c>
      <c r="BC23" s="1187">
        <v>6.9</v>
      </c>
      <c r="BD23" s="1172">
        <v>4000</v>
      </c>
      <c r="BE23" s="1172">
        <v>5000</v>
      </c>
      <c r="BF23" s="1172">
        <v>6000</v>
      </c>
      <c r="BG23" s="1172">
        <v>8000</v>
      </c>
      <c r="BH23" s="1172">
        <v>12000</v>
      </c>
      <c r="BI23" s="1172">
        <v>16000</v>
      </c>
      <c r="BJ23" s="1185" t="s">
        <v>1894</v>
      </c>
      <c r="BK23" s="1185"/>
      <c r="BL23" s="1185" t="s">
        <v>1333</v>
      </c>
      <c r="BM23" s="1185"/>
      <c r="BN23" s="1186"/>
      <c r="BO23" s="1185" t="s">
        <v>2606</v>
      </c>
      <c r="BP23" s="1185"/>
      <c r="BQ23" s="1185"/>
      <c r="BR23" s="1185"/>
      <c r="BS23" s="1185"/>
      <c r="BT23" s="1185"/>
      <c r="BU23" s="1185"/>
      <c r="BW23" s="1181"/>
    </row>
    <row r="24" spans="1:75">
      <c r="G24" s="1061"/>
      <c r="U24" s="1184"/>
      <c r="AG24" s="1060">
        <f>D11*(1-((W$15)/100))</f>
        <v>3.2468650728692152</v>
      </c>
      <c r="AI24" s="1187"/>
      <c r="AK24" s="1097"/>
      <c r="AW24" s="1181"/>
      <c r="AY24" s="1184"/>
      <c r="AZ24" s="1189">
        <v>101</v>
      </c>
      <c r="BA24" s="1185">
        <v>6</v>
      </c>
      <c r="BB24" s="1188">
        <v>18.63</v>
      </c>
      <c r="BC24" s="1187">
        <v>6.9</v>
      </c>
      <c r="BD24" s="1172">
        <v>4000</v>
      </c>
      <c r="BE24" s="1172">
        <v>5000</v>
      </c>
      <c r="BF24" s="1172">
        <v>6000</v>
      </c>
      <c r="BG24" s="1172">
        <v>8000</v>
      </c>
      <c r="BH24" s="1172">
        <v>12000</v>
      </c>
      <c r="BI24" s="1172">
        <v>16000</v>
      </c>
      <c r="BJ24" s="1185" t="s">
        <v>1894</v>
      </c>
      <c r="BK24" s="1185"/>
      <c r="BL24" s="1185" t="s">
        <v>1333</v>
      </c>
      <c r="BM24" s="1185"/>
      <c r="BN24" s="1186"/>
      <c r="BO24" s="1185" t="s">
        <v>2605</v>
      </c>
      <c r="BP24" s="1185"/>
      <c r="BQ24" s="1185"/>
      <c r="BR24" s="1185"/>
      <c r="BS24" s="1185"/>
      <c r="BT24" s="1185"/>
      <c r="BU24" s="1185"/>
      <c r="BW24" s="1181"/>
    </row>
    <row r="25" spans="1:75">
      <c r="A25" s="1060" t="s">
        <v>2604</v>
      </c>
      <c r="H25" s="1061"/>
      <c r="U25" s="1184"/>
      <c r="AW25" s="1181"/>
      <c r="AY25" s="1184"/>
      <c r="AZ25" s="1189">
        <v>102</v>
      </c>
      <c r="BA25" s="1185">
        <v>6</v>
      </c>
      <c r="BB25" s="1188">
        <v>18.63</v>
      </c>
      <c r="BC25" s="1187">
        <v>6.9</v>
      </c>
      <c r="BD25" s="1172">
        <v>4000</v>
      </c>
      <c r="BE25" s="1172">
        <v>5000</v>
      </c>
      <c r="BF25" s="1172">
        <v>6000</v>
      </c>
      <c r="BG25" s="1172">
        <v>8000</v>
      </c>
      <c r="BH25" s="1172">
        <v>12000</v>
      </c>
      <c r="BI25" s="1172">
        <v>16000</v>
      </c>
      <c r="BJ25" s="1190" t="s">
        <v>1894</v>
      </c>
      <c r="BK25" s="1190"/>
      <c r="BL25" s="1190" t="s">
        <v>1333</v>
      </c>
      <c r="BM25" s="1190"/>
      <c r="BN25" s="1186">
        <v>0.35</v>
      </c>
      <c r="BO25" s="1190" t="s">
        <v>2603</v>
      </c>
      <c r="BP25" s="1185"/>
      <c r="BQ25" s="1185"/>
      <c r="BR25" s="1185"/>
      <c r="BS25" s="1185"/>
      <c r="BT25" s="1185"/>
      <c r="BU25" s="1185"/>
      <c r="BW25" s="1181"/>
    </row>
    <row r="26" spans="1:75">
      <c r="B26" s="1060" t="s">
        <v>2602</v>
      </c>
      <c r="U26" s="1241">
        <v>2</v>
      </c>
      <c r="V26" s="1737" t="s">
        <v>779</v>
      </c>
      <c r="W26" s="1203"/>
      <c r="X26" s="1203"/>
      <c r="Y26" s="1203"/>
      <c r="Z26" s="1203"/>
      <c r="AA26" s="1203"/>
      <c r="AB26" s="1203"/>
      <c r="AC26" s="1203"/>
      <c r="AD26" s="1203"/>
      <c r="AE26" s="1203"/>
      <c r="AF26" s="1203"/>
      <c r="AG26" s="1203"/>
      <c r="AH26" s="1203"/>
      <c r="AI26" s="1203"/>
      <c r="AJ26" s="1203"/>
      <c r="AK26" s="1203"/>
      <c r="AL26" s="1203"/>
      <c r="AM26" s="1203"/>
      <c r="AN26" s="1203"/>
      <c r="AO26" s="1203"/>
      <c r="AP26" s="1203"/>
      <c r="AQ26" s="1203"/>
      <c r="AR26" s="1203"/>
      <c r="AS26" s="1203"/>
      <c r="AT26" s="1203"/>
      <c r="AU26" s="1203"/>
      <c r="AV26" s="1203"/>
      <c r="AW26" s="1206"/>
      <c r="AY26" s="1184"/>
      <c r="AZ26" s="1189">
        <v>103</v>
      </c>
      <c r="BA26" s="1185">
        <v>6</v>
      </c>
      <c r="BB26" s="1188">
        <v>18.63</v>
      </c>
      <c r="BC26" s="1187">
        <v>6.9</v>
      </c>
      <c r="BD26" s="1172">
        <v>4000</v>
      </c>
      <c r="BE26" s="1172">
        <v>5000</v>
      </c>
      <c r="BF26" s="1172">
        <v>6000</v>
      </c>
      <c r="BG26" s="1172">
        <v>8000</v>
      </c>
      <c r="BH26" s="1172">
        <v>12000</v>
      </c>
      <c r="BI26" s="1172">
        <v>16000</v>
      </c>
      <c r="BJ26" s="1190" t="s">
        <v>1894</v>
      </c>
      <c r="BK26" s="1190"/>
      <c r="BL26" s="1190" t="s">
        <v>1333</v>
      </c>
      <c r="BM26" s="1190"/>
      <c r="BN26" s="1186">
        <v>0.35</v>
      </c>
      <c r="BO26" s="1190" t="s">
        <v>2601</v>
      </c>
      <c r="BP26" s="1185"/>
      <c r="BQ26" s="1185"/>
      <c r="BR26" s="1185"/>
      <c r="BS26" s="1185"/>
      <c r="BT26" s="1185"/>
      <c r="BU26" s="1185"/>
      <c r="BW26" s="1181"/>
    </row>
    <row r="27" spans="1:75">
      <c r="C27" s="1357" t="s">
        <v>733</v>
      </c>
      <c r="D27" s="1357" t="s">
        <v>789</v>
      </c>
      <c r="E27" s="1203" t="s">
        <v>749</v>
      </c>
      <c r="F27" s="1357" t="s">
        <v>738</v>
      </c>
      <c r="G27" s="1357" t="s">
        <v>790</v>
      </c>
      <c r="H27" s="1357" t="s">
        <v>791</v>
      </c>
      <c r="I27" s="1357" t="s">
        <v>920</v>
      </c>
      <c r="U27" s="1184"/>
      <c r="AW27" s="1181"/>
      <c r="AY27" s="1184"/>
      <c r="AZ27" s="1189">
        <v>104</v>
      </c>
      <c r="BA27" s="1185">
        <v>6</v>
      </c>
      <c r="BB27" s="1188">
        <v>0</v>
      </c>
      <c r="BC27" s="1187">
        <v>7</v>
      </c>
      <c r="BD27" s="1172">
        <v>4000</v>
      </c>
      <c r="BE27" s="1172">
        <v>5000</v>
      </c>
      <c r="BF27" s="1172">
        <v>6000</v>
      </c>
      <c r="BG27" s="1172">
        <v>8000</v>
      </c>
      <c r="BH27" s="1172">
        <v>12000</v>
      </c>
      <c r="BI27" s="1172">
        <v>16000</v>
      </c>
      <c r="BJ27" s="1190"/>
      <c r="BK27" s="1190"/>
      <c r="BL27" s="1190"/>
      <c r="BM27" s="1190"/>
      <c r="BN27" s="1186">
        <v>0.6</v>
      </c>
      <c r="BO27" s="1190" t="s">
        <v>2600</v>
      </c>
      <c r="BP27" s="1185"/>
      <c r="BQ27" s="1185"/>
      <c r="BR27" s="1185"/>
      <c r="BS27" s="1185"/>
      <c r="BT27" s="1185"/>
      <c r="BU27" s="1185"/>
      <c r="BW27" s="1181"/>
    </row>
    <row r="28" spans="1:75">
      <c r="B28" s="1174" t="s">
        <v>449</v>
      </c>
      <c r="C28" s="1356"/>
      <c r="D28" s="1356"/>
      <c r="E28" s="1174" t="s">
        <v>751</v>
      </c>
      <c r="F28" s="1356" t="s">
        <v>753</v>
      </c>
      <c r="G28" s="1356"/>
      <c r="H28" s="1356"/>
      <c r="I28" s="1356" t="s">
        <v>454</v>
      </c>
      <c r="U28" s="1184"/>
      <c r="W28" s="1060" t="s">
        <v>2599</v>
      </c>
      <c r="AW28" s="1181"/>
      <c r="AY28" s="1184"/>
      <c r="AZ28" s="1189">
        <v>107</v>
      </c>
      <c r="BA28" s="1172">
        <v>0</v>
      </c>
      <c r="BB28" s="1188"/>
      <c r="BC28" s="1187"/>
      <c r="BD28" s="1172">
        <v>0</v>
      </c>
      <c r="BE28" s="1172">
        <v>0</v>
      </c>
      <c r="BF28" s="1172">
        <v>0</v>
      </c>
      <c r="BG28" s="1172">
        <v>0</v>
      </c>
      <c r="BH28" s="1172">
        <v>0</v>
      </c>
      <c r="BI28" s="1172">
        <v>0</v>
      </c>
      <c r="BJ28" s="1190"/>
      <c r="BK28" s="1190"/>
      <c r="BL28" s="1190"/>
      <c r="BM28" s="1190"/>
      <c r="BN28" s="1186"/>
      <c r="BO28" s="1190" t="s">
        <v>2598</v>
      </c>
      <c r="BP28" s="1185"/>
      <c r="BQ28" s="1185"/>
      <c r="BR28" s="1185"/>
      <c r="BS28" s="1185"/>
      <c r="BT28" s="1185"/>
      <c r="BU28" s="1185"/>
      <c r="BW28" s="1181"/>
    </row>
    <row r="29" spans="1:75">
      <c r="B29" s="1060" t="s">
        <v>276</v>
      </c>
      <c r="C29" s="1350">
        <f t="shared" ref="C29:C40" si="3">IF(ISNUMBER(AS8),AS8,"")</f>
        <v>206.07581281748756</v>
      </c>
      <c r="D29" s="1350">
        <f t="shared" ref="D29:D40" si="4">IF(VLOOKUP($G$4,$B$52:$N$76,12,0)="off","",IF(ISNUMBER(AF30),AF30,""))</f>
        <v>577.69297091444196</v>
      </c>
      <c r="E29" s="1358">
        <f t="shared" ref="E29:E40" si="5">IF(ISNUMBER(AG186),AG186,"")</f>
        <v>266.1596958174905</v>
      </c>
      <c r="F29" s="1350" t="str">
        <f t="shared" ref="F29:F40" si="6">IF(ISNUMBER(X245),X245,"")</f>
        <v/>
      </c>
      <c r="G29" s="1350">
        <f t="shared" ref="G29:G40" si="7">IF(VLOOKUP($G$4,$B$52:$N$76,10,0)="off","",IF(ISNUMBER(X127),X127,""))</f>
        <v>59.438804629496971</v>
      </c>
      <c r="H29" s="1350">
        <f>IF(VLOOKUP($G$4,$B$52:$O$76,8,0)="on",G29,AVERAGE(C29:G29))</f>
        <v>277.34182104472922</v>
      </c>
      <c r="I29" s="1345">
        <f>H29/H41</f>
        <v>0.10263929627706618</v>
      </c>
      <c r="J29" s="1152"/>
      <c r="U29" s="1184"/>
      <c r="W29" s="1173" t="s">
        <v>2597</v>
      </c>
      <c r="X29" s="1355" t="s">
        <v>2596</v>
      </c>
      <c r="Y29" s="1354" t="s">
        <v>2595</v>
      </c>
      <c r="AD29" s="1173" t="s">
        <v>449</v>
      </c>
      <c r="AE29" s="1342" t="s">
        <v>781</v>
      </c>
      <c r="AF29" s="1254" t="s">
        <v>782</v>
      </c>
      <c r="AW29" s="1181"/>
      <c r="AY29" s="1184"/>
      <c r="AZ29" s="1189">
        <v>108</v>
      </c>
      <c r="BA29" s="1185">
        <v>6</v>
      </c>
      <c r="BB29" s="1188">
        <v>5.81</v>
      </c>
      <c r="BC29" s="1187">
        <v>7.1</v>
      </c>
      <c r="BD29" s="1172">
        <v>4000</v>
      </c>
      <c r="BE29" s="1172">
        <v>5000</v>
      </c>
      <c r="BF29" s="1172">
        <v>6000</v>
      </c>
      <c r="BG29" s="1172">
        <v>8000</v>
      </c>
      <c r="BH29" s="1172">
        <v>12000</v>
      </c>
      <c r="BI29" s="1172">
        <v>16000</v>
      </c>
      <c r="BJ29" s="1190" t="s">
        <v>1894</v>
      </c>
      <c r="BK29" s="1190"/>
      <c r="BL29" s="1190" t="s">
        <v>1329</v>
      </c>
      <c r="BM29" s="1190"/>
      <c r="BN29" s="1186">
        <v>0.4</v>
      </c>
      <c r="BO29" s="1190" t="s">
        <v>2594</v>
      </c>
      <c r="BP29" s="1185"/>
      <c r="BQ29" s="1185"/>
      <c r="BR29" s="1185"/>
      <c r="BS29" s="1185"/>
      <c r="BT29" s="1185"/>
      <c r="BU29" s="1185"/>
      <c r="BW29" s="1181"/>
    </row>
    <row r="30" spans="1:75">
      <c r="B30" s="1060" t="s">
        <v>277</v>
      </c>
      <c r="C30" s="1350">
        <f t="shared" si="3"/>
        <v>186.64160176163838</v>
      </c>
      <c r="D30" s="1350">
        <f t="shared" si="4"/>
        <v>489.81278813569878</v>
      </c>
      <c r="E30" s="1358">
        <f t="shared" si="5"/>
        <v>247.14828897338404</v>
      </c>
      <c r="F30" s="1350" t="str">
        <f t="shared" si="6"/>
        <v/>
      </c>
      <c r="G30" s="1350">
        <f t="shared" si="7"/>
        <v>23.348800815097448</v>
      </c>
      <c r="H30" s="1350">
        <f t="shared" ref="H30:H40" si="8">IF(VLOOKUP($G$4,$B$52:$O$76,8,0)="on",G30,AVERAGE(C30:G30))</f>
        <v>236.73786992145466</v>
      </c>
      <c r="I30" s="1350">
        <f>H30/H41</f>
        <v>8.7612493057622573E-2</v>
      </c>
      <c r="J30" s="1152"/>
      <c r="U30" s="1184"/>
      <c r="W30" s="1304" t="s">
        <v>694</v>
      </c>
      <c r="X30" s="1353">
        <v>96</v>
      </c>
      <c r="Y30" s="1282">
        <f t="shared" ref="Y30:Y41" si="9">X30*1.1</f>
        <v>105.60000000000001</v>
      </c>
      <c r="AD30" s="1060" t="s">
        <v>276</v>
      </c>
      <c r="AE30" s="1352">
        <f t="shared" ref="AE30:AE41" si="10">(VLOOKUP($A$4,$W$30:$Y$41,2,FALSE))*$D10</f>
        <v>525.17542810403802</v>
      </c>
      <c r="AF30" s="1351">
        <f t="shared" ref="AF30:AF41" si="11">(VLOOKUP($A$4,$W$30:$Y$41,3,FALSE))*$D10</f>
        <v>577.69297091444196</v>
      </c>
      <c r="AW30" s="1181"/>
      <c r="AY30" s="1184"/>
      <c r="AZ30" s="1189">
        <v>109</v>
      </c>
      <c r="BA30" s="1185">
        <v>6</v>
      </c>
      <c r="BB30" s="1188">
        <v>5.81</v>
      </c>
      <c r="BC30" s="1187">
        <v>7.1</v>
      </c>
      <c r="BD30" s="1172">
        <v>4000</v>
      </c>
      <c r="BE30" s="1172">
        <v>5000</v>
      </c>
      <c r="BF30" s="1172">
        <v>6000</v>
      </c>
      <c r="BG30" s="1172">
        <v>8000</v>
      </c>
      <c r="BH30" s="1172">
        <v>12000</v>
      </c>
      <c r="BI30" s="1172">
        <v>16000</v>
      </c>
      <c r="BJ30" s="1190" t="s">
        <v>1894</v>
      </c>
      <c r="BK30" s="1190"/>
      <c r="BL30" s="1190" t="s">
        <v>1329</v>
      </c>
      <c r="BM30" s="1190"/>
      <c r="BN30" s="1186">
        <v>0.4</v>
      </c>
      <c r="BO30" s="1190" t="s">
        <v>2593</v>
      </c>
      <c r="BP30" s="1185"/>
      <c r="BQ30" s="1185"/>
      <c r="BR30" s="1185"/>
      <c r="BS30" s="1185"/>
      <c r="BT30" s="1185"/>
      <c r="BU30" s="1185"/>
      <c r="BW30" s="1181"/>
    </row>
    <row r="31" spans="1:75">
      <c r="B31" s="1060" t="s">
        <v>88</v>
      </c>
      <c r="C31" s="1350">
        <f t="shared" si="3"/>
        <v>268.01043610438285</v>
      </c>
      <c r="D31" s="1350">
        <f t="shared" si="4"/>
        <v>651.43650284758121</v>
      </c>
      <c r="E31" s="1358">
        <f t="shared" si="5"/>
        <v>602.5</v>
      </c>
      <c r="F31" s="1350" t="str">
        <f t="shared" si="6"/>
        <v/>
      </c>
      <c r="G31" s="1350">
        <f t="shared" si="7"/>
        <v>77.001760119066958</v>
      </c>
      <c r="H31" s="1350">
        <f t="shared" si="8"/>
        <v>399.73717476775778</v>
      </c>
      <c r="I31" s="1350">
        <f>H31/H41</f>
        <v>0.14793564908239434</v>
      </c>
      <c r="J31" s="1152"/>
      <c r="U31" s="1184"/>
      <c r="W31" s="1156" t="s">
        <v>1241</v>
      </c>
      <c r="X31" s="1184">
        <v>96</v>
      </c>
      <c r="Y31" s="1060">
        <f t="shared" si="9"/>
        <v>105.60000000000001</v>
      </c>
      <c r="AD31" s="1060" t="s">
        <v>277</v>
      </c>
      <c r="AE31" s="1348">
        <f>(VLOOKUP($A$4,$W$30:$Y$41,2,FALSE))*$D11</f>
        <v>445.28435285063523</v>
      </c>
      <c r="AF31" s="1347">
        <f t="shared" si="11"/>
        <v>489.81278813569878</v>
      </c>
      <c r="AW31" s="1181"/>
      <c r="AY31" s="1184"/>
      <c r="AZ31" s="1189">
        <v>110</v>
      </c>
      <c r="BA31" s="1185">
        <v>14</v>
      </c>
      <c r="BB31" s="1188">
        <v>26.34</v>
      </c>
      <c r="BC31" s="1187">
        <v>6</v>
      </c>
      <c r="BD31" s="1172">
        <v>1000</v>
      </c>
      <c r="BE31" s="1172">
        <v>1500</v>
      </c>
      <c r="BF31" s="1172">
        <v>2000</v>
      </c>
      <c r="BG31" s="1172">
        <v>2500</v>
      </c>
      <c r="BH31" s="1172">
        <v>3250</v>
      </c>
      <c r="BI31" s="1172">
        <v>4000</v>
      </c>
      <c r="BJ31" s="1190" t="s">
        <v>1348</v>
      </c>
      <c r="BK31" s="1190"/>
      <c r="BL31" s="1190" t="s">
        <v>1390</v>
      </c>
      <c r="BM31" s="1190"/>
      <c r="BN31" s="1186"/>
      <c r="BO31" s="1190" t="s">
        <v>2592</v>
      </c>
      <c r="BP31" s="1185"/>
      <c r="BQ31" s="1185"/>
      <c r="BR31" s="1185"/>
      <c r="BS31" s="1185"/>
      <c r="BT31" s="1185"/>
      <c r="BU31" s="1185"/>
      <c r="BW31" s="1181"/>
    </row>
    <row r="32" spans="1:75">
      <c r="B32" s="1060" t="s">
        <v>89</v>
      </c>
      <c r="C32" s="1350">
        <f t="shared" si="3"/>
        <v>338.95188931141251</v>
      </c>
      <c r="D32" s="1350">
        <f t="shared" si="4"/>
        <v>548.17243384116682</v>
      </c>
      <c r="E32" s="1358">
        <f t="shared" si="5"/>
        <v>332.69961977186313</v>
      </c>
      <c r="F32" s="1350" t="str">
        <f t="shared" si="6"/>
        <v/>
      </c>
      <c r="G32" s="1350">
        <f t="shared" si="7"/>
        <v>194.48550532916775</v>
      </c>
      <c r="H32" s="1350">
        <f t="shared" si="8"/>
        <v>353.57736206340257</v>
      </c>
      <c r="I32" s="1350">
        <f>H32/H41</f>
        <v>0.1308527198854591</v>
      </c>
      <c r="J32" s="1152"/>
      <c r="U32" s="1184"/>
      <c r="W32" s="1156" t="s">
        <v>784</v>
      </c>
      <c r="X32" s="1184">
        <v>156</v>
      </c>
      <c r="Y32" s="1060">
        <f t="shared" si="9"/>
        <v>171.60000000000002</v>
      </c>
      <c r="AD32" s="1060" t="s">
        <v>88</v>
      </c>
      <c r="AE32" s="1348">
        <f t="shared" si="10"/>
        <v>592.21500258871015</v>
      </c>
      <c r="AF32" s="1347">
        <f t="shared" si="11"/>
        <v>651.43650284758121</v>
      </c>
      <c r="AI32" s="1342" t="s">
        <v>2591</v>
      </c>
      <c r="AW32" s="1181"/>
      <c r="AY32" s="1184"/>
      <c r="AZ32" s="1189">
        <v>111</v>
      </c>
      <c r="BA32" s="1185">
        <v>14</v>
      </c>
      <c r="BB32" s="1188">
        <v>26.34</v>
      </c>
      <c r="BC32" s="1187">
        <v>6</v>
      </c>
      <c r="BD32" s="1172">
        <v>1000</v>
      </c>
      <c r="BE32" s="1172">
        <v>1500</v>
      </c>
      <c r="BF32" s="1172">
        <v>2000</v>
      </c>
      <c r="BG32" s="1172">
        <v>2500</v>
      </c>
      <c r="BH32" s="1172">
        <v>3250</v>
      </c>
      <c r="BI32" s="1172">
        <v>4000</v>
      </c>
      <c r="BJ32" s="1190" t="s">
        <v>1348</v>
      </c>
      <c r="BK32" s="1190"/>
      <c r="BL32" s="1190" t="s">
        <v>1390</v>
      </c>
      <c r="BM32" s="1190"/>
      <c r="BN32" s="1186"/>
      <c r="BO32" s="1190" t="s">
        <v>2590</v>
      </c>
      <c r="BP32" s="1185"/>
      <c r="BQ32" s="1185"/>
      <c r="BR32" s="1185"/>
      <c r="BS32" s="1185"/>
      <c r="BT32" s="1185"/>
      <c r="BU32" s="1185"/>
      <c r="BW32" s="1181"/>
    </row>
    <row r="33" spans="2:75">
      <c r="B33" s="1060" t="s">
        <v>39</v>
      </c>
      <c r="C33" s="1350">
        <f t="shared" si="3"/>
        <v>262.78804888843621</v>
      </c>
      <c r="D33" s="1350">
        <f t="shared" si="4"/>
        <v>346.50053862071371</v>
      </c>
      <c r="E33" s="1358">
        <f t="shared" si="5"/>
        <v>190.11406844106463</v>
      </c>
      <c r="F33" s="1350" t="str">
        <f t="shared" si="6"/>
        <v/>
      </c>
      <c r="G33" s="1350">
        <f t="shared" si="7"/>
        <v>57.187476365338178</v>
      </c>
      <c r="H33" s="1350">
        <f t="shared" si="8"/>
        <v>214.14753307888819</v>
      </c>
      <c r="I33" s="1350">
        <f>H33/H41</f>
        <v>7.92522094644426E-2</v>
      </c>
      <c r="J33" s="1152"/>
      <c r="U33" s="1184"/>
      <c r="W33" s="1156" t="s">
        <v>2589</v>
      </c>
      <c r="X33" s="1349">
        <v>150</v>
      </c>
      <c r="Y33" s="1300">
        <f t="shared" si="9"/>
        <v>165</v>
      </c>
      <c r="AD33" s="1060" t="s">
        <v>89</v>
      </c>
      <c r="AE33" s="1348">
        <f t="shared" si="10"/>
        <v>498.33857621924255</v>
      </c>
      <c r="AF33" s="1347">
        <f t="shared" si="11"/>
        <v>548.17243384116682</v>
      </c>
      <c r="AW33" s="1181"/>
      <c r="AY33" s="1184"/>
      <c r="AZ33" s="1189">
        <v>112</v>
      </c>
      <c r="BA33" s="1185">
        <v>14</v>
      </c>
      <c r="BB33" s="1188">
        <v>26.34</v>
      </c>
      <c r="BC33" s="1187">
        <v>6</v>
      </c>
      <c r="BD33" s="1172">
        <v>1000</v>
      </c>
      <c r="BE33" s="1172">
        <v>1500</v>
      </c>
      <c r="BF33" s="1172">
        <v>2000</v>
      </c>
      <c r="BG33" s="1172">
        <v>2500</v>
      </c>
      <c r="BH33" s="1172">
        <v>3250</v>
      </c>
      <c r="BI33" s="1172">
        <v>4000</v>
      </c>
      <c r="BJ33" s="1190" t="s">
        <v>1348</v>
      </c>
      <c r="BK33" s="1190"/>
      <c r="BL33" s="1190" t="s">
        <v>1390</v>
      </c>
      <c r="BM33" s="1190"/>
      <c r="BN33" s="1186">
        <v>0.35</v>
      </c>
      <c r="BO33" s="1190" t="s">
        <v>2588</v>
      </c>
      <c r="BP33" s="1185"/>
      <c r="BQ33" s="1185"/>
      <c r="BR33" s="1185"/>
      <c r="BS33" s="1185"/>
      <c r="BT33" s="1185"/>
      <c r="BU33" s="1185"/>
      <c r="BW33" s="1181"/>
    </row>
    <row r="34" spans="2:75">
      <c r="B34" s="1060" t="s">
        <v>90</v>
      </c>
      <c r="C34" s="1350">
        <f t="shared" si="3"/>
        <v>196.18202515240873</v>
      </c>
      <c r="D34" s="1350">
        <f t="shared" si="4"/>
        <v>281.50294923445205</v>
      </c>
      <c r="E34" s="1358">
        <f t="shared" si="5"/>
        <v>95.057034220532316</v>
      </c>
      <c r="F34" s="1350" t="str">
        <f t="shared" si="6"/>
        <v/>
      </c>
      <c r="G34" s="1350">
        <f t="shared" si="7"/>
        <v>0</v>
      </c>
      <c r="H34" s="1350">
        <f t="shared" si="8"/>
        <v>143.18550215184825</v>
      </c>
      <c r="I34" s="1350">
        <f>H34/H41</f>
        <v>5.2990418547709146E-2</v>
      </c>
      <c r="J34" s="1152"/>
      <c r="U34" s="1184"/>
      <c r="W34" s="1156" t="s">
        <v>787</v>
      </c>
      <c r="X34" s="1184">
        <v>198</v>
      </c>
      <c r="Y34" s="1060">
        <f t="shared" si="9"/>
        <v>217.8</v>
      </c>
      <c r="AD34" s="1060" t="s">
        <v>39</v>
      </c>
      <c r="AE34" s="1348">
        <f t="shared" si="10"/>
        <v>315.00048965519426</v>
      </c>
      <c r="AF34" s="1347">
        <f t="shared" si="11"/>
        <v>346.50053862071371</v>
      </c>
      <c r="AW34" s="1181"/>
      <c r="AY34" s="1184"/>
      <c r="AZ34" s="1189">
        <v>113</v>
      </c>
      <c r="BA34" s="1185">
        <v>14</v>
      </c>
      <c r="BB34" s="1188">
        <v>26.34</v>
      </c>
      <c r="BC34" s="1187">
        <v>6</v>
      </c>
      <c r="BD34" s="1172">
        <v>1000</v>
      </c>
      <c r="BE34" s="1172">
        <v>1500</v>
      </c>
      <c r="BF34" s="1172">
        <v>2000</v>
      </c>
      <c r="BG34" s="1172">
        <v>2500</v>
      </c>
      <c r="BH34" s="1172">
        <v>3250</v>
      </c>
      <c r="BI34" s="1172">
        <v>4000</v>
      </c>
      <c r="BJ34" s="1190" t="s">
        <v>1348</v>
      </c>
      <c r="BK34" s="1190"/>
      <c r="BL34" s="1190" t="s">
        <v>1390</v>
      </c>
      <c r="BM34" s="1190"/>
      <c r="BN34" s="1186">
        <v>0.35</v>
      </c>
      <c r="BO34" s="1190" t="s">
        <v>2587</v>
      </c>
      <c r="BP34" s="1185"/>
      <c r="BQ34" s="1185"/>
      <c r="BR34" s="1185"/>
      <c r="BS34" s="1185"/>
      <c r="BT34" s="1185"/>
      <c r="BU34" s="1185"/>
      <c r="BW34" s="1181"/>
    </row>
    <row r="35" spans="2:75">
      <c r="B35" s="1060" t="s">
        <v>91</v>
      </c>
      <c r="C35" s="1350">
        <f t="shared" si="3"/>
        <v>188.04538361055575</v>
      </c>
      <c r="D35" s="1350">
        <f t="shared" si="4"/>
        <v>313.92399546907876</v>
      </c>
      <c r="E35" s="1358">
        <f t="shared" si="5"/>
        <v>50</v>
      </c>
      <c r="F35" s="1350" t="str">
        <f t="shared" si="6"/>
        <v/>
      </c>
      <c r="G35" s="1350">
        <f t="shared" si="7"/>
        <v>6.492812239081152</v>
      </c>
      <c r="H35" s="1350">
        <f t="shared" si="8"/>
        <v>139.61554782967892</v>
      </c>
      <c r="I35" s="1350">
        <f>H35/H41</f>
        <v>5.166924167655261E-2</v>
      </c>
      <c r="J35" s="1152"/>
      <c r="U35" s="1184"/>
      <c r="W35" s="1156" t="s">
        <v>2586</v>
      </c>
      <c r="X35" s="1349">
        <v>150</v>
      </c>
      <c r="Y35" s="1300">
        <f t="shared" si="9"/>
        <v>165</v>
      </c>
      <c r="AD35" s="1060" t="s">
        <v>90</v>
      </c>
      <c r="AE35" s="1348">
        <f t="shared" si="10"/>
        <v>255.91177203132</v>
      </c>
      <c r="AF35" s="1347">
        <f t="shared" si="11"/>
        <v>281.50294923445205</v>
      </c>
      <c r="AW35" s="1181"/>
      <c r="AY35" s="1184"/>
      <c r="AZ35" s="1189">
        <v>114</v>
      </c>
      <c r="BA35" s="1185">
        <v>14</v>
      </c>
      <c r="BB35" s="1188">
        <v>26.34</v>
      </c>
      <c r="BC35" s="1187">
        <v>6</v>
      </c>
      <c r="BD35" s="1172">
        <v>1000</v>
      </c>
      <c r="BE35" s="1172">
        <v>1500</v>
      </c>
      <c r="BF35" s="1172">
        <v>2000</v>
      </c>
      <c r="BG35" s="1172">
        <v>2500</v>
      </c>
      <c r="BH35" s="1172">
        <v>3250</v>
      </c>
      <c r="BI35" s="1172">
        <v>4000</v>
      </c>
      <c r="BJ35" s="1190" t="s">
        <v>1348</v>
      </c>
      <c r="BK35" s="1190"/>
      <c r="BL35" s="1190" t="s">
        <v>1390</v>
      </c>
      <c r="BM35" s="1190"/>
      <c r="BN35" s="1186"/>
      <c r="BO35" s="1190" t="s">
        <v>2585</v>
      </c>
      <c r="BP35" s="1185"/>
      <c r="BQ35" s="1185"/>
      <c r="BR35" s="1185"/>
      <c r="BS35" s="1185"/>
      <c r="BT35" s="1185"/>
      <c r="BU35" s="1185"/>
      <c r="BW35" s="1181"/>
    </row>
    <row r="36" spans="2:75">
      <c r="B36" s="1060" t="s">
        <v>92</v>
      </c>
      <c r="C36" s="1350">
        <f t="shared" si="3"/>
        <v>191.98846541389904</v>
      </c>
      <c r="D36" s="1350">
        <f t="shared" si="4"/>
        <v>297.28980353500248</v>
      </c>
      <c r="E36" s="1358">
        <f t="shared" si="5"/>
        <v>50</v>
      </c>
      <c r="F36" s="1350" t="str">
        <f t="shared" si="6"/>
        <v/>
      </c>
      <c r="G36" s="1350">
        <f t="shared" si="7"/>
        <v>0</v>
      </c>
      <c r="H36" s="1350">
        <f t="shared" si="8"/>
        <v>134.81956723722539</v>
      </c>
      <c r="I36" s="1350">
        <f>H36/H41</f>
        <v>4.9894334195547403E-2</v>
      </c>
      <c r="J36" s="1152"/>
      <c r="U36" s="1184"/>
      <c r="W36" s="1156" t="s">
        <v>2584</v>
      </c>
      <c r="X36" s="1349">
        <v>150</v>
      </c>
      <c r="Y36" s="1300">
        <f t="shared" si="9"/>
        <v>165</v>
      </c>
      <c r="AD36" s="1060" t="s">
        <v>91</v>
      </c>
      <c r="AE36" s="1348">
        <f t="shared" si="10"/>
        <v>285.38545042643523</v>
      </c>
      <c r="AF36" s="1347">
        <f t="shared" si="11"/>
        <v>313.92399546907876</v>
      </c>
      <c r="AW36" s="1181"/>
      <c r="AY36" s="1184"/>
      <c r="AZ36" s="1189">
        <v>115</v>
      </c>
      <c r="BA36" s="1185">
        <v>5</v>
      </c>
      <c r="BB36" s="1188">
        <v>15.74</v>
      </c>
      <c r="BC36" s="1187">
        <v>6.8</v>
      </c>
      <c r="BD36" s="1172">
        <v>4000</v>
      </c>
      <c r="BE36" s="1172">
        <v>5000</v>
      </c>
      <c r="BF36" s="1172">
        <v>6000</v>
      </c>
      <c r="BG36" s="1172">
        <v>8000</v>
      </c>
      <c r="BH36" s="1172">
        <v>12000</v>
      </c>
      <c r="BI36" s="1172">
        <v>16000</v>
      </c>
      <c r="BJ36" s="1190" t="s">
        <v>1348</v>
      </c>
      <c r="BK36" s="1190"/>
      <c r="BL36" s="1190" t="s">
        <v>1333</v>
      </c>
      <c r="BM36" s="1190"/>
      <c r="BN36" s="1186"/>
      <c r="BO36" s="1190" t="s">
        <v>2583</v>
      </c>
      <c r="BP36" s="1185"/>
      <c r="BQ36" s="1185"/>
      <c r="BR36" s="1185"/>
      <c r="BS36" s="1185"/>
      <c r="BT36" s="1185"/>
      <c r="BU36" s="1185"/>
      <c r="BW36" s="1181"/>
    </row>
    <row r="37" spans="2:75">
      <c r="B37" s="1060" t="s">
        <v>93</v>
      </c>
      <c r="C37" s="1350">
        <f t="shared" si="3"/>
        <v>162.36400361245046</v>
      </c>
      <c r="D37" s="1350">
        <f t="shared" si="4"/>
        <v>195.31700593232787</v>
      </c>
      <c r="E37" s="1358">
        <f t="shared" si="5"/>
        <v>50</v>
      </c>
      <c r="F37" s="1350" t="str">
        <f t="shared" si="6"/>
        <v/>
      </c>
      <c r="G37" s="1350">
        <f t="shared" si="7"/>
        <v>0</v>
      </c>
      <c r="H37" s="1350">
        <f t="shared" si="8"/>
        <v>101.92025238619459</v>
      </c>
      <c r="I37" s="1350">
        <f>H37/H41</f>
        <v>3.7718880412243534E-2</v>
      </c>
      <c r="J37" s="1152"/>
      <c r="U37" s="1184"/>
      <c r="W37" s="1156" t="s">
        <v>692</v>
      </c>
      <c r="X37" s="1349">
        <v>96</v>
      </c>
      <c r="Y37" s="1300">
        <f t="shared" si="9"/>
        <v>105.60000000000001</v>
      </c>
      <c r="AD37" s="1060" t="s">
        <v>92</v>
      </c>
      <c r="AE37" s="1348">
        <f t="shared" si="10"/>
        <v>270.26345775909311</v>
      </c>
      <c r="AF37" s="1347">
        <f t="shared" si="11"/>
        <v>297.28980353500248</v>
      </c>
      <c r="AI37" s="1197" t="s">
        <v>2582</v>
      </c>
      <c r="AW37" s="1181"/>
      <c r="AY37" s="1184"/>
      <c r="AZ37" s="1189">
        <v>116</v>
      </c>
      <c r="BA37" s="1185">
        <v>5</v>
      </c>
      <c r="BB37" s="1188">
        <v>15.74</v>
      </c>
      <c r="BC37" s="1187">
        <v>6.8</v>
      </c>
      <c r="BD37" s="1172">
        <v>4000</v>
      </c>
      <c r="BE37" s="1172">
        <v>5000</v>
      </c>
      <c r="BF37" s="1172">
        <v>6000</v>
      </c>
      <c r="BG37" s="1172">
        <v>8000</v>
      </c>
      <c r="BH37" s="1172">
        <v>12000</v>
      </c>
      <c r="BI37" s="1172">
        <v>16000</v>
      </c>
      <c r="BJ37" s="1185" t="s">
        <v>1348</v>
      </c>
      <c r="BK37" s="1185"/>
      <c r="BL37" s="1185" t="s">
        <v>1333</v>
      </c>
      <c r="BM37" s="1185"/>
      <c r="BN37" s="1186"/>
      <c r="BO37" s="1185" t="s">
        <v>2581</v>
      </c>
      <c r="BP37" s="1185"/>
      <c r="BQ37" s="1185"/>
      <c r="BR37" s="1185"/>
      <c r="BS37" s="1185"/>
      <c r="BT37" s="1185"/>
      <c r="BU37" s="1185"/>
      <c r="BW37" s="1181"/>
    </row>
    <row r="38" spans="2:75">
      <c r="B38" s="1060" t="s">
        <v>94</v>
      </c>
      <c r="C38" s="1350">
        <f t="shared" si="3"/>
        <v>155.83844759253765</v>
      </c>
      <c r="D38" s="1350">
        <f t="shared" si="4"/>
        <v>271.16353802635996</v>
      </c>
      <c r="E38" s="1358">
        <f t="shared" si="5"/>
        <v>50</v>
      </c>
      <c r="F38" s="1350" t="str">
        <f t="shared" si="6"/>
        <v/>
      </c>
      <c r="G38" s="1350">
        <f t="shared" si="7"/>
        <v>0</v>
      </c>
      <c r="H38" s="1350">
        <f t="shared" si="8"/>
        <v>119.2504964047244</v>
      </c>
      <c r="I38" s="1350">
        <f>H38/H41</f>
        <v>4.4132496806883345E-2</v>
      </c>
      <c r="J38" s="1152"/>
      <c r="U38" s="1184"/>
      <c r="W38" s="1156" t="s">
        <v>693</v>
      </c>
      <c r="X38" s="1349">
        <v>96</v>
      </c>
      <c r="Y38" s="1300">
        <f t="shared" si="9"/>
        <v>105.60000000000001</v>
      </c>
      <c r="AD38" s="1060" t="s">
        <v>93</v>
      </c>
      <c r="AE38" s="1348">
        <f t="shared" si="10"/>
        <v>177.5609144839344</v>
      </c>
      <c r="AF38" s="1347">
        <f t="shared" si="11"/>
        <v>195.31700593232787</v>
      </c>
      <c r="AI38" s="1060" t="s">
        <v>2580</v>
      </c>
      <c r="AW38" s="1181"/>
      <c r="AY38" s="1184"/>
      <c r="AZ38" s="1189">
        <v>117</v>
      </c>
      <c r="BA38" s="1185">
        <v>5</v>
      </c>
      <c r="BB38" s="1188">
        <v>15.74</v>
      </c>
      <c r="BC38" s="1187">
        <v>6.8</v>
      </c>
      <c r="BD38" s="1172">
        <v>4000</v>
      </c>
      <c r="BE38" s="1172">
        <v>5000</v>
      </c>
      <c r="BF38" s="1172">
        <v>6000</v>
      </c>
      <c r="BG38" s="1172">
        <v>8000</v>
      </c>
      <c r="BH38" s="1172">
        <v>12000</v>
      </c>
      <c r="BI38" s="1172">
        <v>16000</v>
      </c>
      <c r="BJ38" s="1185" t="s">
        <v>1348</v>
      </c>
      <c r="BK38" s="1185"/>
      <c r="BL38" s="1185" t="s">
        <v>1333</v>
      </c>
      <c r="BM38" s="1185"/>
      <c r="BN38" s="1186">
        <v>0.35</v>
      </c>
      <c r="BO38" s="1185" t="s">
        <v>2579</v>
      </c>
      <c r="BP38" s="1185"/>
      <c r="BQ38" s="1185"/>
      <c r="BR38" s="1185"/>
      <c r="BS38" s="1185"/>
      <c r="BT38" s="1185"/>
      <c r="BU38" s="1185"/>
      <c r="BW38" s="1181"/>
    </row>
    <row r="39" spans="2:75">
      <c r="B39" s="1060" t="s">
        <v>95</v>
      </c>
      <c r="C39" s="1350">
        <f t="shared" si="3"/>
        <v>162.71631496668715</v>
      </c>
      <c r="D39" s="1350">
        <f t="shared" si="4"/>
        <v>430.8250110851618</v>
      </c>
      <c r="E39" s="1358">
        <f t="shared" si="5"/>
        <v>190.11406844106463</v>
      </c>
      <c r="F39" s="1350" t="str">
        <f t="shared" si="6"/>
        <v/>
      </c>
      <c r="G39" s="1350">
        <f t="shared" si="7"/>
        <v>213.63533762402682</v>
      </c>
      <c r="H39" s="1350">
        <f t="shared" si="8"/>
        <v>249.32268302923512</v>
      </c>
      <c r="I39" s="1350">
        <f>H39/H41</f>
        <v>9.2269909513226875E-2</v>
      </c>
      <c r="J39" s="1152"/>
      <c r="U39" s="1184"/>
      <c r="W39" s="1156" t="s">
        <v>675</v>
      </c>
      <c r="X39" s="1349">
        <v>96</v>
      </c>
      <c r="Y39" s="1300">
        <f t="shared" si="9"/>
        <v>105.60000000000001</v>
      </c>
      <c r="AD39" s="1060" t="s">
        <v>94</v>
      </c>
      <c r="AE39" s="1348">
        <f t="shared" si="10"/>
        <v>246.51230729669086</v>
      </c>
      <c r="AF39" s="1347">
        <f t="shared" si="11"/>
        <v>271.16353802635996</v>
      </c>
      <c r="AI39" s="1060" t="s">
        <v>2578</v>
      </c>
      <c r="AW39" s="1181"/>
      <c r="AY39" s="1184"/>
      <c r="AZ39" s="1189">
        <v>118</v>
      </c>
      <c r="BA39" s="1185">
        <v>5</v>
      </c>
      <c r="BB39" s="1188">
        <v>15.74</v>
      </c>
      <c r="BC39" s="1187">
        <v>6.8</v>
      </c>
      <c r="BD39" s="1172">
        <v>4000</v>
      </c>
      <c r="BE39" s="1172">
        <v>5000</v>
      </c>
      <c r="BF39" s="1172">
        <v>6000</v>
      </c>
      <c r="BG39" s="1172">
        <v>8000</v>
      </c>
      <c r="BH39" s="1172">
        <v>12000</v>
      </c>
      <c r="BI39" s="1172">
        <v>16000</v>
      </c>
      <c r="BJ39" s="1185" t="s">
        <v>1348</v>
      </c>
      <c r="BK39" s="1185"/>
      <c r="BL39" s="1185" t="s">
        <v>1333</v>
      </c>
      <c r="BM39" s="1185"/>
      <c r="BN39" s="1186">
        <v>0.35</v>
      </c>
      <c r="BO39" s="1185" t="s">
        <v>2577</v>
      </c>
      <c r="BP39" s="1185"/>
      <c r="BQ39" s="1190"/>
      <c r="BR39" s="1185"/>
      <c r="BS39" s="1185"/>
      <c r="BT39" s="1185"/>
      <c r="BU39" s="1185"/>
      <c r="BW39" s="1181"/>
    </row>
    <row r="40" spans="2:75">
      <c r="B40" s="1060" t="s">
        <v>96</v>
      </c>
      <c r="C40" s="1350">
        <f t="shared" si="3"/>
        <v>180.39757076810366</v>
      </c>
      <c r="D40" s="1350">
        <f t="shared" si="4"/>
        <v>600.96770766542932</v>
      </c>
      <c r="E40" s="1358">
        <f t="shared" si="5"/>
        <v>375</v>
      </c>
      <c r="F40" s="1350" t="str">
        <f t="shared" si="6"/>
        <v/>
      </c>
      <c r="G40" s="1350">
        <f t="shared" si="7"/>
        <v>173.41844120805501</v>
      </c>
      <c r="H40" s="1350">
        <f t="shared" si="8"/>
        <v>332.44592991039701</v>
      </c>
      <c r="I40" s="1350">
        <f>H40/H41</f>
        <v>0.12303235108085223</v>
      </c>
      <c r="J40" s="1152"/>
      <c r="U40" s="1184"/>
      <c r="W40" s="1156" t="s">
        <v>2576</v>
      </c>
      <c r="X40" s="1349">
        <v>96</v>
      </c>
      <c r="Y40" s="1300">
        <f t="shared" si="9"/>
        <v>105.60000000000001</v>
      </c>
      <c r="AD40" s="1060" t="s">
        <v>95</v>
      </c>
      <c r="AE40" s="1348">
        <f t="shared" si="10"/>
        <v>391.65910098651068</v>
      </c>
      <c r="AF40" s="1347">
        <f t="shared" si="11"/>
        <v>430.8250110851618</v>
      </c>
      <c r="AW40" s="1181"/>
      <c r="AY40" s="1184"/>
      <c r="AZ40" s="1189">
        <v>119</v>
      </c>
      <c r="BA40" s="1185">
        <v>14</v>
      </c>
      <c r="BB40" s="1188">
        <v>50</v>
      </c>
      <c r="BC40" s="1187">
        <v>6.1</v>
      </c>
      <c r="BD40" s="1172">
        <v>1000</v>
      </c>
      <c r="BE40" s="1172">
        <v>1500</v>
      </c>
      <c r="BF40" s="1172">
        <v>2000</v>
      </c>
      <c r="BG40" s="1172">
        <v>2500</v>
      </c>
      <c r="BH40" s="1172">
        <v>3250</v>
      </c>
      <c r="BI40" s="1172">
        <v>4000</v>
      </c>
      <c r="BJ40" s="1185" t="s">
        <v>1892</v>
      </c>
      <c r="BK40" s="1185"/>
      <c r="BL40" s="1185" t="s">
        <v>1333</v>
      </c>
      <c r="BM40" s="1185"/>
      <c r="BN40" s="1186">
        <v>0.35</v>
      </c>
      <c r="BO40" s="1185" t="s">
        <v>2575</v>
      </c>
      <c r="BP40" s="1185"/>
      <c r="BQ40" s="1190"/>
      <c r="BR40" s="1185"/>
      <c r="BS40" s="1185"/>
      <c r="BT40" s="1185"/>
      <c r="BU40" s="1185"/>
      <c r="BW40" s="1181"/>
    </row>
    <row r="41" spans="2:75">
      <c r="B41" s="1203" t="s">
        <v>76</v>
      </c>
      <c r="C41" s="1346">
        <f t="shared" ref="C41:I41" si="12">SUM(C29:C40)</f>
        <v>2500</v>
      </c>
      <c r="D41" s="1346">
        <f t="shared" si="12"/>
        <v>5004.6052453074153</v>
      </c>
      <c r="E41" s="1245">
        <f t="shared" si="12"/>
        <v>2498.7927756653994</v>
      </c>
      <c r="F41" s="1346">
        <f t="shared" si="12"/>
        <v>0</v>
      </c>
      <c r="G41" s="1346">
        <f t="shared" si="12"/>
        <v>805.00893832933025</v>
      </c>
      <c r="H41" s="1346">
        <f t="shared" si="12"/>
        <v>2702.1017398255362</v>
      </c>
      <c r="I41" s="1345">
        <f t="shared" si="12"/>
        <v>1</v>
      </c>
      <c r="N41" s="1061"/>
      <c r="U41" s="1184"/>
      <c r="W41" s="1156" t="s">
        <v>2574</v>
      </c>
      <c r="X41" s="1184">
        <v>150</v>
      </c>
      <c r="Y41" s="1060">
        <f t="shared" si="9"/>
        <v>165</v>
      </c>
      <c r="AD41" s="1174" t="s">
        <v>96</v>
      </c>
      <c r="AE41" s="1344">
        <f t="shared" si="10"/>
        <v>546.33427969584477</v>
      </c>
      <c r="AF41" s="1343">
        <f t="shared" si="11"/>
        <v>600.96770766542932</v>
      </c>
      <c r="AI41" s="1342" t="s">
        <v>2573</v>
      </c>
      <c r="AW41" s="1181"/>
      <c r="AY41" s="1184"/>
      <c r="AZ41" s="1189">
        <v>120</v>
      </c>
      <c r="BA41" s="1185">
        <v>6</v>
      </c>
      <c r="BB41" s="1188">
        <v>50</v>
      </c>
      <c r="BC41" s="1187">
        <v>7.6</v>
      </c>
      <c r="BD41" s="1172">
        <v>4000</v>
      </c>
      <c r="BE41" s="1172">
        <v>5000</v>
      </c>
      <c r="BF41" s="1172">
        <v>6000</v>
      </c>
      <c r="BG41" s="1172">
        <v>8000</v>
      </c>
      <c r="BH41" s="1172">
        <v>12000</v>
      </c>
      <c r="BI41" s="1172">
        <v>16000</v>
      </c>
      <c r="BJ41" s="1185" t="s">
        <v>1894</v>
      </c>
      <c r="BK41" s="1185"/>
      <c r="BL41" s="1185" t="s">
        <v>1333</v>
      </c>
      <c r="BM41" s="1185"/>
      <c r="BN41" s="1186"/>
      <c r="BO41" s="1185" t="s">
        <v>2572</v>
      </c>
      <c r="BP41" s="1185"/>
      <c r="BQ41" s="1185"/>
      <c r="BR41" s="1185"/>
      <c r="BS41" s="1185"/>
      <c r="BT41" s="1185"/>
      <c r="BU41" s="1185"/>
      <c r="BW41" s="1181"/>
    </row>
    <row r="42" spans="2:75">
      <c r="H42" s="1060">
        <v>14603</v>
      </c>
      <c r="U42" s="1184"/>
      <c r="AD42" s="1206" t="s">
        <v>76</v>
      </c>
      <c r="AE42" s="1341">
        <f>SUM(AE30:AE41)</f>
        <v>4549.6411320976486</v>
      </c>
      <c r="AF42" s="1242">
        <f>SUM(AF30:AF41)</f>
        <v>5004.6052453074153</v>
      </c>
      <c r="AW42" s="1181"/>
      <c r="AY42" s="1184"/>
      <c r="AZ42" s="1189">
        <v>121</v>
      </c>
      <c r="BA42" s="1185">
        <v>6</v>
      </c>
      <c r="BB42" s="1188">
        <v>50</v>
      </c>
      <c r="BC42" s="1187">
        <v>7.6</v>
      </c>
      <c r="BD42" s="1172">
        <v>4000</v>
      </c>
      <c r="BE42" s="1172">
        <v>5000</v>
      </c>
      <c r="BF42" s="1172">
        <v>6000</v>
      </c>
      <c r="BG42" s="1172">
        <v>8000</v>
      </c>
      <c r="BH42" s="1172">
        <v>12000</v>
      </c>
      <c r="BI42" s="1172">
        <v>16000</v>
      </c>
      <c r="BJ42" s="1185" t="s">
        <v>1894</v>
      </c>
      <c r="BK42" s="1185"/>
      <c r="BL42" s="1185" t="s">
        <v>1333</v>
      </c>
      <c r="BM42" s="1185"/>
      <c r="BN42" s="1186">
        <v>0.35</v>
      </c>
      <c r="BO42" s="1185" t="s">
        <v>2571</v>
      </c>
      <c r="BP42" s="1185"/>
      <c r="BQ42" s="1185"/>
      <c r="BR42" s="1185"/>
      <c r="BS42" s="1185"/>
      <c r="BT42" s="1185"/>
      <c r="BU42" s="1185"/>
      <c r="BW42" s="1181"/>
    </row>
    <row r="43" spans="2:75">
      <c r="B43" s="1152"/>
      <c r="L43" s="1061"/>
      <c r="U43" s="1184"/>
      <c r="AW43" s="1181"/>
      <c r="AY43" s="1184"/>
      <c r="AZ43" s="1189">
        <v>122</v>
      </c>
      <c r="BA43" s="1185">
        <v>6</v>
      </c>
      <c r="BB43" s="1188">
        <v>50</v>
      </c>
      <c r="BC43" s="1187">
        <v>7.6</v>
      </c>
      <c r="BD43" s="1172">
        <v>4000</v>
      </c>
      <c r="BE43" s="1172">
        <v>5000</v>
      </c>
      <c r="BF43" s="1172">
        <v>6000</v>
      </c>
      <c r="BG43" s="1172">
        <v>8000</v>
      </c>
      <c r="BH43" s="1172">
        <v>12000</v>
      </c>
      <c r="BI43" s="1172">
        <v>16000</v>
      </c>
      <c r="BJ43" s="1185" t="s">
        <v>1894</v>
      </c>
      <c r="BK43" s="1185"/>
      <c r="BL43" s="1185" t="s">
        <v>1333</v>
      </c>
      <c r="BM43" s="1185"/>
      <c r="BN43" s="1186">
        <v>0.35</v>
      </c>
      <c r="BO43" s="1185" t="s">
        <v>2570</v>
      </c>
      <c r="BP43" s="1185"/>
      <c r="BQ43" s="1185"/>
      <c r="BR43" s="1185"/>
      <c r="BS43" s="1185"/>
      <c r="BT43" s="1185"/>
      <c r="BU43" s="1185"/>
      <c r="BW43" s="1181"/>
    </row>
    <row r="44" spans="2:75">
      <c r="B44" s="1197" t="s">
        <v>2199</v>
      </c>
      <c r="U44" s="1184"/>
      <c r="AW44" s="1181"/>
      <c r="AY44" s="1184"/>
      <c r="AZ44" s="1189">
        <v>123</v>
      </c>
      <c r="BA44" s="1185">
        <v>6</v>
      </c>
      <c r="BB44" s="1188"/>
      <c r="BC44" s="1187"/>
      <c r="BD44" s="1172">
        <v>4000</v>
      </c>
      <c r="BE44" s="1172">
        <v>5000</v>
      </c>
      <c r="BF44" s="1172">
        <v>6000</v>
      </c>
      <c r="BG44" s="1172">
        <v>8000</v>
      </c>
      <c r="BH44" s="1172">
        <v>12000</v>
      </c>
      <c r="BI44" s="1172">
        <v>16000</v>
      </c>
      <c r="BJ44" s="1185"/>
      <c r="BK44" s="1185"/>
      <c r="BL44" s="1185"/>
      <c r="BM44" s="1185"/>
      <c r="BN44" s="1186">
        <v>0.7</v>
      </c>
      <c r="BO44" s="1185" t="s">
        <v>2569</v>
      </c>
      <c r="BP44" s="1185"/>
      <c r="BQ44" s="1185"/>
      <c r="BR44" s="1185"/>
      <c r="BS44" s="1185"/>
      <c r="BT44" s="1185"/>
      <c r="BU44" s="1185"/>
      <c r="BW44" s="1181"/>
    </row>
    <row r="45" spans="2:75">
      <c r="B45" s="1060" t="s">
        <v>2568</v>
      </c>
      <c r="U45" s="1241">
        <v>3</v>
      </c>
      <c r="V45" s="1240" t="s">
        <v>790</v>
      </c>
      <c r="W45" s="1203"/>
      <c r="X45" s="1203"/>
      <c r="Y45" s="1203"/>
      <c r="Z45" s="1203"/>
      <c r="AA45" s="1203"/>
      <c r="AB45" s="1203"/>
      <c r="AC45" s="1203"/>
      <c r="AD45" s="1203"/>
      <c r="AE45" s="1203"/>
      <c r="AF45" s="1203"/>
      <c r="AG45" s="1203"/>
      <c r="AH45" s="1203"/>
      <c r="AI45" s="1203"/>
      <c r="AJ45" s="1203"/>
      <c r="AK45" s="1203"/>
      <c r="AL45" s="1203"/>
      <c r="AM45" s="1203"/>
      <c r="AN45" s="1203"/>
      <c r="AO45" s="1203"/>
      <c r="AP45" s="1203"/>
      <c r="AQ45" s="1203"/>
      <c r="AR45" s="1203"/>
      <c r="AS45" s="1203"/>
      <c r="AT45" s="1203"/>
      <c r="AU45" s="1203"/>
      <c r="AV45" s="1203"/>
      <c r="AW45" s="1206"/>
      <c r="AY45" s="1184"/>
      <c r="AZ45" s="1189">
        <v>124</v>
      </c>
      <c r="BA45" s="1185">
        <v>6</v>
      </c>
      <c r="BB45" s="1188">
        <v>50</v>
      </c>
      <c r="BC45" s="1187">
        <v>7.6</v>
      </c>
      <c r="BD45" s="1172">
        <v>4000</v>
      </c>
      <c r="BE45" s="1172">
        <v>5000</v>
      </c>
      <c r="BF45" s="1172">
        <v>6000</v>
      </c>
      <c r="BG45" s="1172">
        <v>8000</v>
      </c>
      <c r="BH45" s="1172">
        <v>12000</v>
      </c>
      <c r="BI45" s="1172">
        <v>16000</v>
      </c>
      <c r="BJ45" s="1185" t="s">
        <v>1894</v>
      </c>
      <c r="BK45" s="1185"/>
      <c r="BL45" s="1185" t="s">
        <v>1333</v>
      </c>
      <c r="BM45" s="1185"/>
      <c r="BN45" s="1186"/>
      <c r="BO45" s="1185" t="s">
        <v>2567</v>
      </c>
      <c r="BP45" s="1185"/>
      <c r="BQ45" s="1185"/>
      <c r="BR45" s="1185"/>
      <c r="BS45" s="1185"/>
      <c r="BT45" s="1185"/>
      <c r="BU45" s="1185"/>
      <c r="BW45" s="1181"/>
    </row>
    <row r="46" spans="2:75">
      <c r="B46" s="1060" t="s">
        <v>2566</v>
      </c>
      <c r="U46" s="1184"/>
      <c r="AL46" s="1060" t="s">
        <v>2565</v>
      </c>
      <c r="AM46" s="1060" t="s">
        <v>2564</v>
      </c>
      <c r="AN46" s="1060" t="s">
        <v>2563</v>
      </c>
      <c r="AW46" s="1181"/>
      <c r="AY46" s="1184"/>
      <c r="AZ46" s="1189">
        <v>125</v>
      </c>
      <c r="BA46" s="1185">
        <v>14</v>
      </c>
      <c r="BB46" s="1188"/>
      <c r="BC46" s="1187"/>
      <c r="BD46" s="1172">
        <v>1000</v>
      </c>
      <c r="BE46" s="1172">
        <v>1500</v>
      </c>
      <c r="BF46" s="1172">
        <v>2000</v>
      </c>
      <c r="BG46" s="1172">
        <v>2500</v>
      </c>
      <c r="BH46" s="1172">
        <v>3250</v>
      </c>
      <c r="BI46" s="1172">
        <v>4000</v>
      </c>
      <c r="BJ46" s="1185"/>
      <c r="BK46" s="1185"/>
      <c r="BL46" s="1185"/>
      <c r="BM46" s="1185"/>
      <c r="BN46" s="1186">
        <v>0.7</v>
      </c>
      <c r="BO46" s="1185" t="s">
        <v>2562</v>
      </c>
      <c r="BP46" s="1185"/>
      <c r="BQ46" s="1185"/>
      <c r="BR46" s="1185"/>
      <c r="BS46" s="1172"/>
      <c r="BT46" s="1185"/>
      <c r="BU46" s="1185"/>
      <c r="BW46" s="1181"/>
    </row>
    <row r="47" spans="2:75">
      <c r="U47" s="1184"/>
      <c r="W47" s="1271" t="s">
        <v>816</v>
      </c>
      <c r="X47" s="1185" t="s">
        <v>2413</v>
      </c>
      <c r="Y47" s="1185" t="s">
        <v>2412</v>
      </c>
      <c r="Z47" s="1185" t="s">
        <v>2411</v>
      </c>
      <c r="AA47" s="1185" t="s">
        <v>2410</v>
      </c>
      <c r="AB47" s="1185" t="s">
        <v>2409</v>
      </c>
      <c r="AC47" s="1185" t="s">
        <v>2408</v>
      </c>
      <c r="AD47" s="1185" t="s">
        <v>2407</v>
      </c>
      <c r="AE47" s="1185" t="s">
        <v>2406</v>
      </c>
      <c r="AF47" s="1185" t="s">
        <v>2405</v>
      </c>
      <c r="AG47" s="1060" t="s">
        <v>2404</v>
      </c>
      <c r="AH47" s="1060" t="s">
        <v>2403</v>
      </c>
      <c r="AI47" s="1185" t="s">
        <v>2402</v>
      </c>
      <c r="AJ47" s="1185" t="s">
        <v>2401</v>
      </c>
      <c r="AK47" s="1736" t="s">
        <v>2400</v>
      </c>
      <c r="AL47" s="1340" t="s">
        <v>2399</v>
      </c>
      <c r="AM47" s="1340" t="s">
        <v>2398</v>
      </c>
      <c r="AN47" s="1300" t="s">
        <v>2397</v>
      </c>
      <c r="AO47" s="1185" t="s">
        <v>2396</v>
      </c>
      <c r="AP47" s="1185" t="s">
        <v>2395</v>
      </c>
      <c r="AQ47" s="1185" t="s">
        <v>2394</v>
      </c>
      <c r="AR47" s="1060" t="s">
        <v>2393</v>
      </c>
      <c r="AS47" s="1060" t="s">
        <v>1296</v>
      </c>
      <c r="AT47" s="1060" t="s">
        <v>1297</v>
      </c>
      <c r="AU47" s="1060" t="s">
        <v>1298</v>
      </c>
      <c r="AW47" s="1181"/>
      <c r="AY47" s="1184"/>
      <c r="AZ47" s="1189">
        <v>126</v>
      </c>
      <c r="BA47" s="1172">
        <v>5</v>
      </c>
      <c r="BB47" s="1188">
        <v>50</v>
      </c>
      <c r="BC47" s="1187">
        <v>6.4</v>
      </c>
      <c r="BD47" s="1172">
        <v>4000</v>
      </c>
      <c r="BE47" s="1172">
        <v>5000</v>
      </c>
      <c r="BF47" s="1172">
        <v>6000</v>
      </c>
      <c r="BG47" s="1172">
        <v>8000</v>
      </c>
      <c r="BH47" s="1172">
        <v>12000</v>
      </c>
      <c r="BI47" s="1172">
        <v>16000</v>
      </c>
      <c r="BJ47" s="1185" t="s">
        <v>1348</v>
      </c>
      <c r="BK47" s="1185"/>
      <c r="BL47" s="1185" t="s">
        <v>1390</v>
      </c>
      <c r="BM47" s="1185"/>
      <c r="BN47" s="1186">
        <v>0.35</v>
      </c>
      <c r="BO47" s="1185" t="s">
        <v>2561</v>
      </c>
      <c r="BP47" s="1185"/>
      <c r="BQ47" s="1172"/>
      <c r="BR47" s="1172"/>
      <c r="BS47" s="1185"/>
      <c r="BT47" s="1185"/>
      <c r="BU47" s="1172"/>
      <c r="BW47" s="1181"/>
    </row>
    <row r="48" spans="2:75">
      <c r="U48" s="1184"/>
      <c r="W48" s="1304" t="s">
        <v>2560</v>
      </c>
      <c r="X48" s="1339">
        <v>41</v>
      </c>
      <c r="Y48" s="1338">
        <v>40</v>
      </c>
      <c r="Z48" s="1671">
        <v>50</v>
      </c>
      <c r="AA48" s="1336">
        <v>42.8</v>
      </c>
      <c r="AB48" s="1336">
        <v>50</v>
      </c>
      <c r="AC48" s="1336">
        <v>55.4</v>
      </c>
      <c r="AD48" s="1336">
        <v>41</v>
      </c>
      <c r="AE48" s="1336">
        <v>42.8</v>
      </c>
      <c r="AF48" s="1336">
        <v>44.6</v>
      </c>
      <c r="AG48" s="1338">
        <v>41</v>
      </c>
      <c r="AH48" s="1335">
        <v>35.5</v>
      </c>
      <c r="AI48" s="1336">
        <v>55.4</v>
      </c>
      <c r="AJ48" s="1338">
        <v>55</v>
      </c>
      <c r="AK48" s="1337">
        <v>41</v>
      </c>
      <c r="AL48" s="1337">
        <v>60</v>
      </c>
      <c r="AM48" s="1337">
        <v>60</v>
      </c>
      <c r="AN48" s="1337">
        <v>60</v>
      </c>
      <c r="AO48" s="1336">
        <v>59</v>
      </c>
      <c r="AP48" s="1336">
        <v>59</v>
      </c>
      <c r="AQ48" s="1336">
        <v>66.2</v>
      </c>
      <c r="AR48" s="1335">
        <v>66.2</v>
      </c>
      <c r="AS48" s="1335"/>
      <c r="AT48" s="1335"/>
      <c r="AU48" s="1335"/>
      <c r="AV48" s="1097"/>
      <c r="AW48" s="1181"/>
      <c r="AY48" s="1184"/>
      <c r="AZ48" s="1189">
        <v>127</v>
      </c>
      <c r="BA48" s="1185">
        <v>14</v>
      </c>
      <c r="BB48" s="1188">
        <v>50</v>
      </c>
      <c r="BC48" s="1187">
        <v>6.1</v>
      </c>
      <c r="BD48" s="1172">
        <v>1000</v>
      </c>
      <c r="BE48" s="1172">
        <v>1500</v>
      </c>
      <c r="BF48" s="1172">
        <v>2000</v>
      </c>
      <c r="BG48" s="1172">
        <v>2500</v>
      </c>
      <c r="BH48" s="1172">
        <v>3250</v>
      </c>
      <c r="BI48" s="1172">
        <v>4000</v>
      </c>
      <c r="BJ48" s="1185" t="s">
        <v>1892</v>
      </c>
      <c r="BK48" s="1185"/>
      <c r="BL48" s="1185" t="s">
        <v>1333</v>
      </c>
      <c r="BM48" s="1185"/>
      <c r="BN48" s="1186">
        <v>0.35</v>
      </c>
      <c r="BO48" s="1185" t="s">
        <v>2559</v>
      </c>
      <c r="BP48" s="1185"/>
      <c r="BQ48" s="1185"/>
      <c r="BR48" s="1185"/>
      <c r="BS48" s="1185"/>
      <c r="BT48" s="1185"/>
      <c r="BU48" s="1185"/>
      <c r="BW48" s="1181"/>
    </row>
    <row r="49" spans="2:75">
      <c r="U49" s="1184"/>
      <c r="W49" s="1156" t="s">
        <v>2558</v>
      </c>
      <c r="X49" s="1303">
        <v>71.599999999999994</v>
      </c>
      <c r="Y49" s="1668">
        <v>50</v>
      </c>
      <c r="Z49" s="1302">
        <v>75</v>
      </c>
      <c r="AA49" s="1187">
        <v>62.6</v>
      </c>
      <c r="AB49" s="1187">
        <v>64.400000000000006</v>
      </c>
      <c r="AC49" s="1187">
        <v>68</v>
      </c>
      <c r="AD49" s="1187">
        <v>53.6</v>
      </c>
      <c r="AE49" s="1187">
        <v>82.4</v>
      </c>
      <c r="AF49" s="1187">
        <v>87.8</v>
      </c>
      <c r="AG49" s="1302">
        <v>60.8</v>
      </c>
      <c r="AH49" s="1097">
        <v>57.2</v>
      </c>
      <c r="AI49" s="1187">
        <v>68</v>
      </c>
      <c r="AJ49" s="1668">
        <v>77</v>
      </c>
      <c r="AK49" s="1301">
        <v>62</v>
      </c>
      <c r="AL49" s="1301">
        <v>71</v>
      </c>
      <c r="AM49" s="1301">
        <v>69</v>
      </c>
      <c r="AN49" s="1301">
        <v>73</v>
      </c>
      <c r="AO49" s="1187">
        <v>69.8</v>
      </c>
      <c r="AP49" s="1187">
        <v>77</v>
      </c>
      <c r="AQ49" s="1187">
        <v>77</v>
      </c>
      <c r="AR49" s="1097">
        <v>77</v>
      </c>
      <c r="AS49" s="1097"/>
      <c r="AT49" s="1097"/>
      <c r="AU49" s="1097"/>
      <c r="AV49" s="1097"/>
      <c r="AW49" s="1181"/>
      <c r="AY49" s="1184"/>
      <c r="AZ49" s="1189">
        <v>129</v>
      </c>
      <c r="BA49" s="1185">
        <v>14</v>
      </c>
      <c r="BB49" s="1188">
        <v>50</v>
      </c>
      <c r="BC49" s="1187">
        <v>6.1</v>
      </c>
      <c r="BD49" s="1172">
        <v>1000</v>
      </c>
      <c r="BE49" s="1172">
        <v>1500</v>
      </c>
      <c r="BF49" s="1172">
        <v>2000</v>
      </c>
      <c r="BG49" s="1172">
        <v>2500</v>
      </c>
      <c r="BH49" s="1172">
        <v>3250</v>
      </c>
      <c r="BI49" s="1172">
        <v>4000</v>
      </c>
      <c r="BJ49" s="1185" t="s">
        <v>1892</v>
      </c>
      <c r="BK49" s="1185"/>
      <c r="BL49" s="1185" t="s">
        <v>1333</v>
      </c>
      <c r="BM49" s="1185"/>
      <c r="BN49" s="1186"/>
      <c r="BO49" s="1185" t="s">
        <v>2557</v>
      </c>
      <c r="BP49" s="1185"/>
      <c r="BQ49" s="1185"/>
      <c r="BR49" s="1185"/>
      <c r="BS49" s="1185"/>
      <c r="BT49" s="1185"/>
      <c r="BU49" s="1185"/>
      <c r="BW49" s="1181"/>
    </row>
    <row r="50" spans="2:75">
      <c r="I50" s="1060" t="s">
        <v>2556</v>
      </c>
      <c r="U50" s="1184"/>
      <c r="W50" s="1156" t="s">
        <v>2555</v>
      </c>
      <c r="X50" s="1303">
        <v>98.6</v>
      </c>
      <c r="Y50" s="1187">
        <v>104</v>
      </c>
      <c r="Z50" s="1668">
        <v>95</v>
      </c>
      <c r="AA50" s="1668">
        <v>98</v>
      </c>
      <c r="AB50" s="1668">
        <v>98</v>
      </c>
      <c r="AC50" s="1187">
        <v>80.599999999999994</v>
      </c>
      <c r="AD50" s="1187">
        <v>78.8</v>
      </c>
      <c r="AE50" s="1187">
        <v>89.6</v>
      </c>
      <c r="AF50" s="1187">
        <v>95</v>
      </c>
      <c r="AG50" s="1302">
        <v>78.8</v>
      </c>
      <c r="AH50" s="1097">
        <v>86</v>
      </c>
      <c r="AI50" s="1187">
        <v>86</v>
      </c>
      <c r="AJ50" s="1302">
        <v>90</v>
      </c>
      <c r="AK50" s="1301">
        <v>78.8</v>
      </c>
      <c r="AL50" s="1301">
        <v>95</v>
      </c>
      <c r="AM50" s="1301">
        <v>95</v>
      </c>
      <c r="AN50" s="1301">
        <v>95</v>
      </c>
      <c r="AO50" s="1187">
        <v>86</v>
      </c>
      <c r="AP50" s="1187">
        <v>95</v>
      </c>
      <c r="AQ50" s="1187">
        <v>95</v>
      </c>
      <c r="AR50" s="1097">
        <v>91.4</v>
      </c>
      <c r="AS50" s="1097"/>
      <c r="AT50" s="1097"/>
      <c r="AU50" s="1097"/>
      <c r="AV50" s="1097"/>
      <c r="AW50" s="1181"/>
      <c r="AY50" s="1184"/>
      <c r="AZ50" s="1189">
        <v>130</v>
      </c>
      <c r="BA50" s="1185">
        <v>14</v>
      </c>
      <c r="BB50" s="1188">
        <v>50</v>
      </c>
      <c r="BC50" s="1187">
        <v>6.6</v>
      </c>
      <c r="BD50" s="1172">
        <v>1000</v>
      </c>
      <c r="BE50" s="1172">
        <v>1500</v>
      </c>
      <c r="BF50" s="1172">
        <v>2000</v>
      </c>
      <c r="BG50" s="1172">
        <v>2500</v>
      </c>
      <c r="BH50" s="1172">
        <v>3250</v>
      </c>
      <c r="BI50" s="1172">
        <v>4000</v>
      </c>
      <c r="BJ50" s="1185" t="s">
        <v>1892</v>
      </c>
      <c r="BK50" s="1185"/>
      <c r="BL50" s="1185" t="s">
        <v>1333</v>
      </c>
      <c r="BM50" s="1185"/>
      <c r="BN50" s="1186"/>
      <c r="BO50" s="1185" t="s">
        <v>2554</v>
      </c>
      <c r="BP50" s="1185"/>
      <c r="BQ50" s="1185"/>
      <c r="BR50" s="1185"/>
      <c r="BS50" s="1185"/>
      <c r="BT50" s="1185"/>
      <c r="BU50" s="1185"/>
      <c r="BW50" s="1181"/>
    </row>
    <row r="51" spans="2:75">
      <c r="B51" s="1060" t="s">
        <v>730</v>
      </c>
      <c r="E51" s="1060" t="s">
        <v>2553</v>
      </c>
      <c r="F51" s="1060" t="s">
        <v>2552</v>
      </c>
      <c r="I51" s="1060" t="s">
        <v>790</v>
      </c>
      <c r="K51" s="1060" t="s">
        <v>790</v>
      </c>
      <c r="L51" s="1174"/>
      <c r="M51" s="1060" t="s">
        <v>789</v>
      </c>
      <c r="N51" s="1174"/>
      <c r="U51" s="1184"/>
      <c r="W51" s="1156" t="s">
        <v>2551</v>
      </c>
      <c r="X51" s="1303">
        <v>107.6</v>
      </c>
      <c r="Y51" s="1187">
        <v>113</v>
      </c>
      <c r="Z51" s="1668">
        <v>122</v>
      </c>
      <c r="AA51" s="1187">
        <v>104</v>
      </c>
      <c r="AB51" s="1187">
        <v>95</v>
      </c>
      <c r="AC51" s="1187">
        <v>96.8</v>
      </c>
      <c r="AD51" s="1187">
        <v>87.8</v>
      </c>
      <c r="AE51" s="1187">
        <v>95</v>
      </c>
      <c r="AF51" s="1187">
        <v>100.4</v>
      </c>
      <c r="AG51" s="1302">
        <v>87.8</v>
      </c>
      <c r="AH51" s="1097">
        <v>104.4</v>
      </c>
      <c r="AI51" s="1187">
        <v>96.8</v>
      </c>
      <c r="AJ51" s="1187">
        <v>96.8</v>
      </c>
      <c r="AK51" s="1301">
        <v>87.8</v>
      </c>
      <c r="AL51" s="1301">
        <v>120</v>
      </c>
      <c r="AM51" s="1301">
        <v>120</v>
      </c>
      <c r="AN51" s="1301">
        <v>120</v>
      </c>
      <c r="AO51" s="1187">
        <v>114.8</v>
      </c>
      <c r="AP51" s="1187">
        <v>100.4</v>
      </c>
      <c r="AQ51" s="1187">
        <v>100.4</v>
      </c>
      <c r="AR51" s="1097">
        <v>104</v>
      </c>
      <c r="AS51" s="1097"/>
      <c r="AT51" s="1097"/>
      <c r="AU51" s="1097"/>
      <c r="AV51" s="1097"/>
      <c r="AW51" s="1181"/>
      <c r="AY51" s="1184"/>
      <c r="AZ51" s="1189">
        <v>131</v>
      </c>
      <c r="BA51" s="1185">
        <v>14</v>
      </c>
      <c r="BB51" s="1188">
        <v>50</v>
      </c>
      <c r="BC51" s="1187">
        <v>6.6</v>
      </c>
      <c r="BD51" s="1172">
        <v>1000</v>
      </c>
      <c r="BE51" s="1172">
        <v>1500</v>
      </c>
      <c r="BF51" s="1172">
        <v>2000</v>
      </c>
      <c r="BG51" s="1172">
        <v>2500</v>
      </c>
      <c r="BH51" s="1172">
        <v>3250</v>
      </c>
      <c r="BI51" s="1172">
        <v>4000</v>
      </c>
      <c r="BJ51" s="1185" t="s">
        <v>1892</v>
      </c>
      <c r="BK51" s="1185"/>
      <c r="BL51" s="1185" t="s">
        <v>1333</v>
      </c>
      <c r="BM51" s="1185"/>
      <c r="BN51" s="1186"/>
      <c r="BO51" s="1185" t="s">
        <v>2550</v>
      </c>
      <c r="BP51" s="1185"/>
      <c r="BQ51" s="1185"/>
      <c r="BR51" s="1185"/>
      <c r="BS51" s="1185"/>
      <c r="BT51" s="1185"/>
      <c r="BU51" s="1185"/>
      <c r="BW51" s="1181"/>
    </row>
    <row r="52" spans="2:75">
      <c r="B52" s="1334" t="s">
        <v>2501</v>
      </c>
      <c r="C52" s="1203"/>
      <c r="D52" s="1203"/>
      <c r="E52" s="1203" t="s">
        <v>2401</v>
      </c>
      <c r="F52" s="1203" t="s">
        <v>2500</v>
      </c>
      <c r="G52" s="1203"/>
      <c r="H52" s="1203"/>
      <c r="I52" s="1334" t="s">
        <v>2447</v>
      </c>
      <c r="J52" s="1203"/>
      <c r="K52" s="1203"/>
      <c r="L52" s="1293"/>
      <c r="M52" s="1203" t="s">
        <v>2446</v>
      </c>
      <c r="O52" s="1334"/>
      <c r="U52" s="1184"/>
      <c r="W52" s="1156" t="s">
        <v>2548</v>
      </c>
      <c r="X52" s="1303">
        <v>0.3</v>
      </c>
      <c r="Y52" s="1187">
        <v>2.78871</v>
      </c>
      <c r="Z52" s="1187">
        <v>1.8</v>
      </c>
      <c r="AA52" s="1187">
        <v>1.80446</v>
      </c>
      <c r="AB52" s="1187">
        <v>2</v>
      </c>
      <c r="AC52" s="1187">
        <v>1.47</v>
      </c>
      <c r="AD52" s="1187">
        <v>0.98424999999999996</v>
      </c>
      <c r="AE52" s="1187">
        <v>1.2466999999999999</v>
      </c>
      <c r="AF52" s="1187">
        <v>2.9527000000000001</v>
      </c>
      <c r="AG52" s="1302">
        <v>1.5</v>
      </c>
      <c r="AH52" s="1097">
        <v>0.65600000000000003</v>
      </c>
      <c r="AI52" s="1187">
        <v>2.46</v>
      </c>
      <c r="AJ52" s="1187">
        <v>2.5</v>
      </c>
      <c r="AK52" s="1301">
        <v>0.5</v>
      </c>
      <c r="AL52" s="1301">
        <v>0.5</v>
      </c>
      <c r="AM52" s="1301">
        <v>0.2</v>
      </c>
      <c r="AN52" s="1301">
        <v>0.4</v>
      </c>
      <c r="AO52" s="1187">
        <v>2.95</v>
      </c>
      <c r="AP52" s="1187">
        <v>1.6</v>
      </c>
      <c r="AQ52" s="1187">
        <v>2.95</v>
      </c>
      <c r="AR52" s="1097">
        <v>2.6</v>
      </c>
      <c r="AS52" s="1097"/>
      <c r="AT52" s="1097"/>
      <c r="AU52" s="1097"/>
      <c r="AV52" s="1097"/>
      <c r="AW52" s="1181"/>
      <c r="AY52" s="1184"/>
      <c r="AZ52" s="1189">
        <v>132</v>
      </c>
      <c r="BA52" s="1172">
        <v>0</v>
      </c>
      <c r="BB52" s="1188">
        <v>50</v>
      </c>
      <c r="BC52" s="1187">
        <v>6.6</v>
      </c>
      <c r="BD52" s="1172">
        <v>0</v>
      </c>
      <c r="BE52" s="1172">
        <v>0</v>
      </c>
      <c r="BF52" s="1172">
        <v>0</v>
      </c>
      <c r="BG52" s="1172">
        <v>0</v>
      </c>
      <c r="BH52" s="1172">
        <v>0</v>
      </c>
      <c r="BI52" s="1172">
        <v>0</v>
      </c>
      <c r="BJ52" s="1185" t="s">
        <v>1892</v>
      </c>
      <c r="BK52" s="1185"/>
      <c r="BL52" s="1185" t="s">
        <v>1333</v>
      </c>
      <c r="BM52" s="1185"/>
      <c r="BN52" s="1186"/>
      <c r="BO52" s="1185" t="s">
        <v>2547</v>
      </c>
      <c r="BP52" s="1185"/>
      <c r="BQ52" s="1185"/>
      <c r="BR52" s="1185"/>
      <c r="BS52" s="1185"/>
      <c r="BT52" s="1185"/>
      <c r="BU52" s="1185"/>
      <c r="BW52" s="1181"/>
    </row>
    <row r="53" spans="2:75">
      <c r="B53" s="1150" t="s">
        <v>2512</v>
      </c>
      <c r="E53" s="1060" t="s">
        <v>2404</v>
      </c>
      <c r="F53" s="1060" t="s">
        <v>2511</v>
      </c>
      <c r="I53" s="1150" t="s">
        <v>2447</v>
      </c>
      <c r="K53" s="1060" t="s">
        <v>2446</v>
      </c>
      <c r="L53" s="1293"/>
      <c r="M53" s="1060" t="s">
        <v>2446</v>
      </c>
      <c r="O53" s="1150"/>
      <c r="U53" s="1184"/>
      <c r="W53" s="1156" t="s">
        <v>2545</v>
      </c>
      <c r="X53" s="1303">
        <v>1.5</v>
      </c>
      <c r="Y53" s="1187">
        <v>4.92</v>
      </c>
      <c r="Z53" s="1187">
        <v>1.97</v>
      </c>
      <c r="AA53" s="1187">
        <v>2.0505200000000001</v>
      </c>
      <c r="AB53" s="1187">
        <v>2.6</v>
      </c>
      <c r="AC53" s="1187">
        <v>1.64</v>
      </c>
      <c r="AD53" s="1187">
        <v>1.64</v>
      </c>
      <c r="AE53" s="1187">
        <v>1.47</v>
      </c>
      <c r="AF53" s="1187">
        <v>3.9369999999999998</v>
      </c>
      <c r="AG53" s="1302">
        <v>2.6</v>
      </c>
      <c r="AH53" s="1097">
        <v>1.64</v>
      </c>
      <c r="AI53" s="1187">
        <f>35.4/12</f>
        <v>2.9499999999999997</v>
      </c>
      <c r="AJ53" s="1187">
        <v>2.95</v>
      </c>
      <c r="AK53" s="1301">
        <v>1</v>
      </c>
      <c r="AL53" s="1301">
        <v>3.2</v>
      </c>
      <c r="AM53" s="1301">
        <v>3.2</v>
      </c>
      <c r="AN53" s="1301">
        <v>3.2</v>
      </c>
      <c r="AO53" s="1187">
        <v>3.93</v>
      </c>
      <c r="AP53" s="1187">
        <v>2.5</v>
      </c>
      <c r="AQ53" s="1187">
        <v>4.92</v>
      </c>
      <c r="AR53" s="1097">
        <v>3.3</v>
      </c>
      <c r="AS53" s="1097"/>
      <c r="AT53" s="1097"/>
      <c r="AU53" s="1097"/>
      <c r="AV53" s="1097"/>
      <c r="AW53" s="1181"/>
      <c r="AY53" s="1184"/>
      <c r="AZ53" s="1189">
        <v>133</v>
      </c>
      <c r="BA53" s="1172">
        <v>0</v>
      </c>
      <c r="BB53" s="1188">
        <v>50</v>
      </c>
      <c r="BC53" s="1187">
        <v>6.6</v>
      </c>
      <c r="BD53" s="1172">
        <v>0</v>
      </c>
      <c r="BE53" s="1172">
        <v>0</v>
      </c>
      <c r="BF53" s="1172">
        <v>0</v>
      </c>
      <c r="BG53" s="1172">
        <v>0</v>
      </c>
      <c r="BH53" s="1172">
        <v>0</v>
      </c>
      <c r="BI53" s="1172">
        <v>0</v>
      </c>
      <c r="BJ53" s="1185" t="s">
        <v>1892</v>
      </c>
      <c r="BK53" s="1185"/>
      <c r="BL53" s="1185" t="s">
        <v>1333</v>
      </c>
      <c r="BM53" s="1185"/>
      <c r="BN53" s="1186"/>
      <c r="BO53" s="1185" t="s">
        <v>2544</v>
      </c>
      <c r="BP53" s="1185"/>
      <c r="BQ53" s="1185"/>
      <c r="BR53" s="1185"/>
      <c r="BS53" s="1185"/>
      <c r="BT53" s="1185"/>
      <c r="BU53" s="1172"/>
      <c r="BW53" s="1181"/>
    </row>
    <row r="54" spans="2:75">
      <c r="B54" s="1150" t="s">
        <v>2546</v>
      </c>
      <c r="E54" s="1060" t="s">
        <v>2413</v>
      </c>
      <c r="F54" s="1060" t="s">
        <v>805</v>
      </c>
      <c r="I54" s="1150" t="s">
        <v>2447</v>
      </c>
      <c r="L54" s="1293"/>
      <c r="M54" s="1060" t="s">
        <v>2446</v>
      </c>
      <c r="O54" s="1150"/>
      <c r="U54" s="1184"/>
      <c r="W54" s="1156" t="s">
        <v>2541</v>
      </c>
      <c r="X54" s="1303">
        <v>4</v>
      </c>
      <c r="Y54" s="1187">
        <v>8.1999999999999993</v>
      </c>
      <c r="Z54" s="1187">
        <v>4.92</v>
      </c>
      <c r="AA54" s="1187">
        <v>5.74</v>
      </c>
      <c r="AB54" s="1187">
        <v>3.9</v>
      </c>
      <c r="AC54" s="1187">
        <v>4.92</v>
      </c>
      <c r="AD54" s="1187">
        <v>3.28</v>
      </c>
      <c r="AE54" s="1187">
        <v>2.1325500000000002</v>
      </c>
      <c r="AF54" s="1187">
        <v>4.92</v>
      </c>
      <c r="AG54" s="1302">
        <v>20</v>
      </c>
      <c r="AH54" s="1097">
        <v>2.95</v>
      </c>
      <c r="AI54" s="1187">
        <f>51.2/12</f>
        <v>4.2666666666666666</v>
      </c>
      <c r="AJ54" s="1187">
        <v>6.9</v>
      </c>
      <c r="AK54" s="1301">
        <v>8</v>
      </c>
      <c r="AL54" s="1301">
        <v>3.2</v>
      </c>
      <c r="AM54" s="1301">
        <v>6</v>
      </c>
      <c r="AN54" s="1301">
        <v>3.2</v>
      </c>
      <c r="AO54" s="1187">
        <v>6.56</v>
      </c>
      <c r="AP54" s="1187">
        <v>8.1999999999999993</v>
      </c>
      <c r="AQ54" s="1187">
        <v>5.9</v>
      </c>
      <c r="AR54" s="1097">
        <v>6.6</v>
      </c>
      <c r="AS54" s="1097"/>
      <c r="AT54" s="1097"/>
      <c r="AU54" s="1097"/>
      <c r="AV54" s="1097"/>
      <c r="AW54" s="1181"/>
      <c r="AY54" s="1184"/>
      <c r="AZ54" s="1189">
        <v>134</v>
      </c>
      <c r="BA54" s="1185">
        <v>14</v>
      </c>
      <c r="BB54" s="1188">
        <v>35</v>
      </c>
      <c r="BC54" s="1187">
        <v>6.1</v>
      </c>
      <c r="BD54" s="1172">
        <v>1000</v>
      </c>
      <c r="BE54" s="1172">
        <v>1500</v>
      </c>
      <c r="BF54" s="1172">
        <v>2000</v>
      </c>
      <c r="BG54" s="1172">
        <v>2500</v>
      </c>
      <c r="BH54" s="1172">
        <v>3250</v>
      </c>
      <c r="BI54" s="1172">
        <v>4000</v>
      </c>
      <c r="BJ54" s="1185" t="s">
        <v>1892</v>
      </c>
      <c r="BK54" s="1185"/>
      <c r="BL54" s="1185" t="s">
        <v>1333</v>
      </c>
      <c r="BM54" s="1185"/>
      <c r="BN54" s="1186"/>
      <c r="BO54" s="1185" t="s">
        <v>2540</v>
      </c>
      <c r="BP54" s="1185"/>
      <c r="BQ54" s="1172"/>
      <c r="BR54" s="1172"/>
      <c r="BS54" s="1185"/>
      <c r="BT54" s="1185"/>
      <c r="BU54" s="1185"/>
      <c r="BW54" s="1181"/>
    </row>
    <row r="55" spans="2:75">
      <c r="B55" s="1150" t="s">
        <v>2466</v>
      </c>
      <c r="E55" s="1060" t="s">
        <v>2396</v>
      </c>
      <c r="F55" s="1060" t="s">
        <v>2465</v>
      </c>
      <c r="I55" s="1150" t="s">
        <v>2447</v>
      </c>
      <c r="K55" s="1060" t="s">
        <v>2446</v>
      </c>
      <c r="L55" s="1293"/>
      <c r="M55" s="1060" t="s">
        <v>2446</v>
      </c>
      <c r="O55" s="1296"/>
      <c r="U55" s="1184"/>
      <c r="W55" s="1156" t="s">
        <v>2537</v>
      </c>
      <c r="X55" s="1333">
        <v>11.5</v>
      </c>
      <c r="Y55" s="1324">
        <v>13.1</v>
      </c>
      <c r="Z55" s="1324">
        <v>6.56</v>
      </c>
      <c r="AA55" s="1324">
        <v>14.1</v>
      </c>
      <c r="AB55" s="1324">
        <v>9.8000000000000007</v>
      </c>
      <c r="AC55" s="1324">
        <v>13.12</v>
      </c>
      <c r="AD55" s="1324">
        <v>5.57</v>
      </c>
      <c r="AE55" s="1324">
        <v>2.62</v>
      </c>
      <c r="AF55" s="1324">
        <v>5.57</v>
      </c>
      <c r="AG55" s="1332">
        <v>50</v>
      </c>
      <c r="AH55" s="1324">
        <v>5.9</v>
      </c>
      <c r="AI55" s="1324">
        <v>5.57</v>
      </c>
      <c r="AJ55" s="1324">
        <v>8.1999999999999993</v>
      </c>
      <c r="AK55" s="1331">
        <v>9.8000000000000007</v>
      </c>
      <c r="AL55" s="1331">
        <v>13</v>
      </c>
      <c r="AM55" s="1331">
        <v>14</v>
      </c>
      <c r="AN55" s="1331">
        <v>13</v>
      </c>
      <c r="AO55" s="1324">
        <v>13.45</v>
      </c>
      <c r="AP55" s="1324">
        <v>13.1</v>
      </c>
      <c r="AQ55" s="1324">
        <v>7.87</v>
      </c>
      <c r="AR55" s="1324">
        <v>8.1999999999999993</v>
      </c>
      <c r="AS55" s="1177"/>
      <c r="AT55" s="1177"/>
      <c r="AU55" s="1177"/>
      <c r="AV55" s="1097"/>
      <c r="AW55" s="1181"/>
      <c r="AY55" s="1184"/>
      <c r="AZ55" s="1189">
        <v>135</v>
      </c>
      <c r="BA55" s="1185">
        <v>14</v>
      </c>
      <c r="BB55" s="1188">
        <v>50</v>
      </c>
      <c r="BC55" s="1187">
        <v>5.4</v>
      </c>
      <c r="BD55" s="1172">
        <v>1000</v>
      </c>
      <c r="BE55" s="1172">
        <v>1500</v>
      </c>
      <c r="BF55" s="1172">
        <v>2000</v>
      </c>
      <c r="BG55" s="1172">
        <v>2500</v>
      </c>
      <c r="BH55" s="1172">
        <v>3250</v>
      </c>
      <c r="BI55" s="1172">
        <v>4000</v>
      </c>
      <c r="BJ55" s="1185" t="s">
        <v>1892</v>
      </c>
      <c r="BK55" s="1185"/>
      <c r="BL55" s="1185" t="s">
        <v>1333</v>
      </c>
      <c r="BM55" s="1185"/>
      <c r="BN55" s="1186"/>
      <c r="BO55" s="1185" t="s">
        <v>2536</v>
      </c>
      <c r="BP55" s="1185"/>
      <c r="BQ55" s="1185"/>
      <c r="BR55" s="1185"/>
      <c r="BS55" s="1172"/>
      <c r="BT55" s="1185"/>
      <c r="BU55" s="1185"/>
      <c r="BW55" s="1181"/>
    </row>
    <row r="56" spans="2:75">
      <c r="B56" s="1150" t="s">
        <v>2504</v>
      </c>
      <c r="E56" s="1060" t="s">
        <v>2402</v>
      </c>
      <c r="F56" s="1060" t="s">
        <v>806</v>
      </c>
      <c r="I56" s="1150" t="s">
        <v>2447</v>
      </c>
      <c r="L56" s="1293"/>
      <c r="M56" s="1060" t="s">
        <v>2446</v>
      </c>
      <c r="O56" s="1150"/>
      <c r="U56" s="1184"/>
      <c r="W56" s="1156"/>
      <c r="X56" s="1187"/>
      <c r="Y56" s="1187"/>
      <c r="Z56" s="1187"/>
      <c r="AA56" s="1187"/>
      <c r="AB56" s="1187"/>
      <c r="AC56" s="1187"/>
      <c r="AD56" s="1187"/>
      <c r="AE56" s="1187"/>
      <c r="AF56" s="1187"/>
      <c r="AG56" s="1187"/>
      <c r="AH56" s="1187"/>
      <c r="AI56" s="1187"/>
      <c r="AJ56" s="1187"/>
      <c r="AK56" s="1187"/>
      <c r="AL56" s="1187"/>
      <c r="AM56" s="1187"/>
      <c r="AN56" s="1187"/>
      <c r="AO56" s="1187"/>
      <c r="AP56" s="1187"/>
      <c r="AQ56" s="1187"/>
      <c r="AR56" s="1187"/>
      <c r="AS56" s="1097"/>
      <c r="AT56" s="1097"/>
      <c r="AU56" s="1097"/>
      <c r="AV56" s="1097"/>
      <c r="AW56" s="1181"/>
      <c r="AY56" s="1184"/>
      <c r="AZ56" s="1189">
        <v>136</v>
      </c>
      <c r="BA56" s="1185">
        <v>14</v>
      </c>
      <c r="BB56" s="1188">
        <v>50</v>
      </c>
      <c r="BC56" s="1187">
        <v>5.4</v>
      </c>
      <c r="BD56" s="1172">
        <v>1000</v>
      </c>
      <c r="BE56" s="1172">
        <v>1500</v>
      </c>
      <c r="BF56" s="1172">
        <v>2000</v>
      </c>
      <c r="BG56" s="1172">
        <v>2500</v>
      </c>
      <c r="BH56" s="1172">
        <v>3250</v>
      </c>
      <c r="BI56" s="1172">
        <v>4000</v>
      </c>
      <c r="BJ56" s="1185" t="s">
        <v>1892</v>
      </c>
      <c r="BK56" s="1185"/>
      <c r="BL56" s="1185" t="s">
        <v>1333</v>
      </c>
      <c r="BM56" s="1185"/>
      <c r="BN56" s="1186"/>
      <c r="BO56" s="1185" t="s">
        <v>2534</v>
      </c>
      <c r="BP56" s="1185"/>
      <c r="BQ56" s="1185"/>
      <c r="BR56" s="1185"/>
      <c r="BS56" s="1172"/>
      <c r="BT56" s="1185"/>
      <c r="BU56" s="1185"/>
      <c r="BW56" s="1181"/>
    </row>
    <row r="57" spans="2:75">
      <c r="B57" s="1150" t="s">
        <v>2535</v>
      </c>
      <c r="E57" s="1060" t="s">
        <v>2410</v>
      </c>
      <c r="F57" s="1060" t="s">
        <v>804</v>
      </c>
      <c r="I57" s="1150" t="s">
        <v>2447</v>
      </c>
      <c r="K57" s="1060" t="s">
        <v>2446</v>
      </c>
      <c r="L57" s="1293"/>
      <c r="M57" s="1724" t="s">
        <v>2447</v>
      </c>
      <c r="O57" s="1150"/>
      <c r="U57" s="1184"/>
      <c r="W57" s="1156"/>
      <c r="X57" s="1174" t="s">
        <v>2532</v>
      </c>
      <c r="Y57" s="1174" t="s">
        <v>2531</v>
      </c>
      <c r="Z57" s="1174"/>
      <c r="AA57" s="1187"/>
      <c r="AC57" s="1187"/>
      <c r="AH57" s="1327" t="s">
        <v>837</v>
      </c>
      <c r="AI57" s="1327" t="s">
        <v>838</v>
      </c>
      <c r="AK57" s="1327" t="s">
        <v>842</v>
      </c>
      <c r="AL57" s="1327" t="s">
        <v>754</v>
      </c>
      <c r="AN57" s="1327" t="s">
        <v>843</v>
      </c>
      <c r="AQ57" s="1173" t="s">
        <v>2530</v>
      </c>
      <c r="AR57" s="1330" t="s">
        <v>829</v>
      </c>
      <c r="AT57" s="1173" t="s">
        <v>2530</v>
      </c>
      <c r="AU57" s="1330" t="s">
        <v>829</v>
      </c>
      <c r="AW57" s="1181"/>
      <c r="AY57" s="1184"/>
      <c r="AZ57" s="1189">
        <v>137</v>
      </c>
      <c r="BA57" s="1185">
        <v>14</v>
      </c>
      <c r="BB57" s="1188">
        <v>50</v>
      </c>
      <c r="BC57" s="1187">
        <v>5.4</v>
      </c>
      <c r="BD57" s="1172">
        <v>1000</v>
      </c>
      <c r="BE57" s="1172">
        <v>1500</v>
      </c>
      <c r="BF57" s="1172">
        <v>2000</v>
      </c>
      <c r="BG57" s="1172">
        <v>2500</v>
      </c>
      <c r="BH57" s="1172">
        <v>3250</v>
      </c>
      <c r="BI57" s="1172">
        <v>4000</v>
      </c>
      <c r="BJ57" s="1185" t="s">
        <v>1892</v>
      </c>
      <c r="BK57" s="1185"/>
      <c r="BL57" s="1185" t="s">
        <v>1333</v>
      </c>
      <c r="BM57" s="1185"/>
      <c r="BN57" s="1186">
        <v>0.35</v>
      </c>
      <c r="BO57" s="1185" t="s">
        <v>2529</v>
      </c>
      <c r="BP57" s="1185"/>
      <c r="BQ57" s="1185"/>
      <c r="BR57" s="1185"/>
      <c r="BS57" s="1185"/>
      <c r="BT57" s="1185"/>
      <c r="BU57" s="1172"/>
      <c r="BW57" s="1181"/>
    </row>
    <row r="58" spans="2:75">
      <c r="B58" s="1150" t="s">
        <v>2470</v>
      </c>
      <c r="E58" s="1060" t="s">
        <v>2397</v>
      </c>
      <c r="F58" s="1060" t="s">
        <v>2469</v>
      </c>
      <c r="I58" s="1150" t="s">
        <v>2447</v>
      </c>
      <c r="L58" s="1293"/>
      <c r="M58" s="1060" t="s">
        <v>2446</v>
      </c>
      <c r="O58" s="1150"/>
      <c r="U58" s="1184"/>
      <c r="W58" s="1156"/>
      <c r="X58" s="1321">
        <f>C4</f>
        <v>417</v>
      </c>
      <c r="Y58" s="1254" t="str">
        <f>VLOOKUP(X58,AZ5:BO1005,16)</f>
        <v>Waimea medial silt loam, 6 to 12 percent slopes</v>
      </c>
      <c r="Z58" s="1254"/>
      <c r="AA58" s="1329"/>
      <c r="AB58" s="1254"/>
      <c r="AC58" s="1329"/>
      <c r="AD58" s="1254"/>
      <c r="AH58" s="1328">
        <v>10</v>
      </c>
      <c r="AI58" s="1327">
        <f>(AH58*1.8)+32</f>
        <v>50</v>
      </c>
      <c r="AK58" s="1328">
        <v>200</v>
      </c>
      <c r="AL58" s="1327">
        <f>AK58/25.4</f>
        <v>7.8740157480314963</v>
      </c>
      <c r="AN58" s="1327">
        <f>AL58/12</f>
        <v>0.65616797900262469</v>
      </c>
      <c r="AQ58" s="1206" t="s">
        <v>2527</v>
      </c>
      <c r="AR58" s="1241" t="s">
        <v>790</v>
      </c>
      <c r="AT58" s="1669" t="s">
        <v>3130</v>
      </c>
      <c r="AU58" s="1670" t="s">
        <v>3131</v>
      </c>
      <c r="AW58" s="1181"/>
      <c r="AY58" s="1184"/>
      <c r="AZ58" s="1189">
        <v>138</v>
      </c>
      <c r="BA58" s="1185">
        <v>14</v>
      </c>
      <c r="BB58" s="1188">
        <v>50</v>
      </c>
      <c r="BC58" s="1187">
        <v>5.4</v>
      </c>
      <c r="BD58" s="1172">
        <v>1000</v>
      </c>
      <c r="BE58" s="1172">
        <v>1500</v>
      </c>
      <c r="BF58" s="1172">
        <v>2000</v>
      </c>
      <c r="BG58" s="1172">
        <v>2500</v>
      </c>
      <c r="BH58" s="1172">
        <v>3250</v>
      </c>
      <c r="BI58" s="1172">
        <v>4000</v>
      </c>
      <c r="BJ58" s="1185" t="s">
        <v>1892</v>
      </c>
      <c r="BK58" s="1185"/>
      <c r="BL58" s="1185" t="s">
        <v>1333</v>
      </c>
      <c r="BM58" s="1185"/>
      <c r="BN58" s="1186">
        <v>0.35</v>
      </c>
      <c r="BO58" s="1185" t="s">
        <v>2526</v>
      </c>
      <c r="BP58" s="1185"/>
      <c r="BQ58" s="1185"/>
      <c r="BR58" s="1185"/>
      <c r="BS58" s="1185"/>
      <c r="BT58" s="1185"/>
      <c r="BU58" s="1172"/>
      <c r="BW58" s="1181"/>
    </row>
    <row r="59" spans="2:75">
      <c r="B59" s="1150" t="s">
        <v>2476</v>
      </c>
      <c r="E59" s="1060" t="s">
        <v>2399</v>
      </c>
      <c r="F59" s="1060" t="s">
        <v>807</v>
      </c>
      <c r="I59" s="1150" t="s">
        <v>2447</v>
      </c>
      <c r="K59" s="1684" t="s">
        <v>2446</v>
      </c>
      <c r="L59" s="1293"/>
      <c r="M59" s="1724" t="s">
        <v>2447</v>
      </c>
      <c r="O59" s="1296"/>
      <c r="U59" s="1184"/>
      <c r="W59" s="1156"/>
      <c r="AA59" s="1187"/>
      <c r="AB59" s="1187"/>
      <c r="AC59" s="1187"/>
      <c r="AD59" s="1187"/>
      <c r="AE59" s="1187"/>
      <c r="AH59" s="1187"/>
      <c r="AI59" s="1187"/>
      <c r="AJ59" s="1187"/>
      <c r="AK59" s="1187"/>
      <c r="AL59" s="1187"/>
      <c r="AM59" s="1187"/>
      <c r="AN59" s="1187"/>
      <c r="AO59" s="1187"/>
      <c r="AP59" s="1187"/>
      <c r="AQ59" s="1326" t="s">
        <v>2524</v>
      </c>
      <c r="AR59" s="1325" t="s">
        <v>2523</v>
      </c>
      <c r="AS59" s="1187"/>
      <c r="AU59" s="1184"/>
      <c r="AW59" s="1181"/>
      <c r="AY59" s="1184"/>
      <c r="AZ59" s="1189">
        <v>139</v>
      </c>
      <c r="BA59" s="1185">
        <v>14</v>
      </c>
      <c r="BB59" s="1188">
        <v>35</v>
      </c>
      <c r="BC59" s="1187">
        <v>6.1</v>
      </c>
      <c r="BD59" s="1172">
        <v>1000</v>
      </c>
      <c r="BE59" s="1172">
        <v>1500</v>
      </c>
      <c r="BF59" s="1172">
        <v>2000</v>
      </c>
      <c r="BG59" s="1172">
        <v>2500</v>
      </c>
      <c r="BH59" s="1172">
        <v>3250</v>
      </c>
      <c r="BI59" s="1172">
        <v>4000</v>
      </c>
      <c r="BJ59" s="1185" t="s">
        <v>1892</v>
      </c>
      <c r="BK59" s="1185"/>
      <c r="BL59" s="1185" t="s">
        <v>1333</v>
      </c>
      <c r="BM59" s="1185"/>
      <c r="BN59" s="1186"/>
      <c r="BO59" s="1185" t="s">
        <v>2522</v>
      </c>
      <c r="BP59" s="1185"/>
      <c r="BQ59" s="1172"/>
      <c r="BR59" s="1172"/>
      <c r="BS59" s="1185"/>
      <c r="BT59" s="1185"/>
      <c r="BU59" s="1172"/>
      <c r="BW59" s="1181"/>
    </row>
    <row r="60" spans="2:75">
      <c r="B60" s="1300" t="s">
        <v>2473</v>
      </c>
      <c r="E60" s="1300" t="s">
        <v>2398</v>
      </c>
      <c r="F60" s="1060" t="s">
        <v>807</v>
      </c>
      <c r="I60" s="1060" t="s">
        <v>2447</v>
      </c>
      <c r="L60" s="1293"/>
      <c r="M60" s="1060" t="s">
        <v>2447</v>
      </c>
      <c r="O60" s="1299"/>
      <c r="U60" s="1184"/>
      <c r="W60" s="1156"/>
      <c r="X60" s="1174" t="s">
        <v>2520</v>
      </c>
      <c r="Z60" s="1324" t="s">
        <v>2519</v>
      </c>
      <c r="AA60" s="1187"/>
      <c r="AB60" s="1187"/>
      <c r="AC60" s="1187"/>
      <c r="AD60" s="1187"/>
      <c r="AE60" s="1187"/>
      <c r="AH60" s="1187"/>
      <c r="AI60" s="1187"/>
      <c r="AJ60" s="1187"/>
      <c r="AK60" s="1187"/>
      <c r="AL60" s="1187"/>
      <c r="AM60" s="1187"/>
      <c r="AN60" s="1187"/>
      <c r="AO60" s="1187"/>
      <c r="AP60" s="1187"/>
      <c r="AQ60" s="1323" t="s">
        <v>2518</v>
      </c>
      <c r="AR60" s="1322" t="s">
        <v>830</v>
      </c>
      <c r="AS60" s="1187"/>
      <c r="AU60" s="1184"/>
      <c r="AW60" s="1181"/>
      <c r="AY60" s="1184"/>
      <c r="AZ60" s="1189">
        <v>140</v>
      </c>
      <c r="BA60" s="1185">
        <v>14</v>
      </c>
      <c r="BB60" s="1188">
        <v>50</v>
      </c>
      <c r="BC60" s="1187">
        <v>6.3</v>
      </c>
      <c r="BD60" s="1172">
        <v>1000</v>
      </c>
      <c r="BE60" s="1172">
        <v>1500</v>
      </c>
      <c r="BF60" s="1172">
        <v>2000</v>
      </c>
      <c r="BG60" s="1172">
        <v>2500</v>
      </c>
      <c r="BH60" s="1172">
        <v>3250</v>
      </c>
      <c r="BI60" s="1172">
        <v>4000</v>
      </c>
      <c r="BJ60" s="1185" t="s">
        <v>1348</v>
      </c>
      <c r="BK60" s="1185"/>
      <c r="BL60" s="1185" t="s">
        <v>1390</v>
      </c>
      <c r="BM60" s="1185"/>
      <c r="BN60" s="1186"/>
      <c r="BO60" s="1185" t="s">
        <v>2517</v>
      </c>
      <c r="BP60" s="1185"/>
      <c r="BQ60" s="1172"/>
      <c r="BR60" s="1172"/>
      <c r="BS60" s="1185"/>
      <c r="BT60" s="1185"/>
      <c r="BU60" s="1172"/>
      <c r="BW60" s="1181"/>
    </row>
    <row r="61" spans="2:75">
      <c r="B61" s="1150" t="s">
        <v>2479</v>
      </c>
      <c r="E61" s="1060" t="s">
        <v>2400</v>
      </c>
      <c r="F61" s="1060" t="s">
        <v>808</v>
      </c>
      <c r="I61" s="1150" t="s">
        <v>2447</v>
      </c>
      <c r="K61" s="1060" t="s">
        <v>2446</v>
      </c>
      <c r="L61" s="1293"/>
      <c r="M61" s="1060" t="s">
        <v>2446</v>
      </c>
      <c r="O61" s="1296"/>
      <c r="U61" s="1184"/>
      <c r="W61" s="1156"/>
      <c r="X61" s="1321">
        <f>VLOOKUP(X58,AZ5:BB1005,3)</f>
        <v>5.29</v>
      </c>
      <c r="Z61" s="1320">
        <f>IF(X61&lt;=0.1,(1.5625*X61)+0,IF(X61&lt;=3.58,(0.1347*X61)+0.1428,IF(X61&lt;=12.83,(0.027*X61)+0.5282,IF(X61&lt;=20.08,(0.0172*X61)+0.6538,1))))</f>
        <v>0.67103000000000002</v>
      </c>
      <c r="AA61" s="1187"/>
      <c r="AB61" s="1187"/>
      <c r="AC61" s="1187"/>
      <c r="AD61" s="1187"/>
      <c r="AE61" s="1187"/>
      <c r="AH61" s="1187"/>
      <c r="AI61" s="1187"/>
      <c r="AJ61" s="1187"/>
      <c r="AK61" s="1187"/>
      <c r="AL61" s="1187"/>
      <c r="AM61" s="1187"/>
      <c r="AN61" s="1187"/>
      <c r="AO61" s="1187"/>
      <c r="AP61" s="1187"/>
      <c r="AQ61" s="1319" t="s">
        <v>2515</v>
      </c>
      <c r="AR61" s="1318" t="s">
        <v>2514</v>
      </c>
      <c r="AU61" s="1184"/>
      <c r="AW61" s="1181"/>
      <c r="AY61" s="1184"/>
      <c r="AZ61" s="1189">
        <v>142</v>
      </c>
      <c r="BA61" s="1185">
        <v>14</v>
      </c>
      <c r="BB61" s="1188">
        <v>50</v>
      </c>
      <c r="BC61" s="1187">
        <v>6.3</v>
      </c>
      <c r="BD61" s="1172">
        <v>1000</v>
      </c>
      <c r="BE61" s="1172">
        <v>1500</v>
      </c>
      <c r="BF61" s="1172">
        <v>2000</v>
      </c>
      <c r="BG61" s="1172">
        <v>2500</v>
      </c>
      <c r="BH61" s="1172">
        <v>3250</v>
      </c>
      <c r="BI61" s="1172">
        <v>4000</v>
      </c>
      <c r="BJ61" s="1185" t="s">
        <v>1348</v>
      </c>
      <c r="BK61" s="1185"/>
      <c r="BL61" s="1185" t="s">
        <v>1390</v>
      </c>
      <c r="BM61" s="1185"/>
      <c r="BN61" s="1186"/>
      <c r="BO61" s="1185" t="s">
        <v>2513</v>
      </c>
      <c r="BP61" s="1185"/>
      <c r="BQ61" s="1172"/>
      <c r="BR61" s="1172"/>
      <c r="BS61" s="1185"/>
      <c r="BT61" s="1185"/>
      <c r="BU61" s="1172"/>
      <c r="BW61" s="1181"/>
    </row>
    <row r="62" spans="2:75">
      <c r="B62" s="1150" t="s">
        <v>2516</v>
      </c>
      <c r="E62" s="1060" t="s">
        <v>2405</v>
      </c>
      <c r="F62" s="1060" t="s">
        <v>809</v>
      </c>
      <c r="I62" s="1150" t="s">
        <v>2447</v>
      </c>
      <c r="L62" s="1293"/>
      <c r="M62" s="1060" t="s">
        <v>2446</v>
      </c>
      <c r="O62" s="1150"/>
      <c r="U62" s="1184"/>
      <c r="W62" s="1156"/>
      <c r="AA62" s="1187"/>
      <c r="AB62" s="1187"/>
      <c r="AC62" s="1187"/>
      <c r="AD62" s="1187"/>
      <c r="AE62" s="1187"/>
      <c r="AF62" s="1187"/>
      <c r="AG62" s="1187"/>
      <c r="AH62" s="1187"/>
      <c r="AI62" s="1187"/>
      <c r="AJ62" s="1187"/>
      <c r="AK62" s="1187"/>
      <c r="AL62" s="1187"/>
      <c r="AM62" s="1187"/>
      <c r="AN62" s="1187"/>
      <c r="AO62" s="1187"/>
      <c r="AP62" s="1187"/>
      <c r="AQ62" s="1317" t="s">
        <v>2510</v>
      </c>
      <c r="AR62" s="1316" t="s">
        <v>2509</v>
      </c>
      <c r="AS62" s="1187"/>
      <c r="AU62" s="1184"/>
      <c r="AW62" s="1181"/>
      <c r="AY62" s="1184"/>
      <c r="AZ62" s="1189">
        <v>143</v>
      </c>
      <c r="BA62" s="1185">
        <v>14</v>
      </c>
      <c r="BB62" s="1188">
        <v>50</v>
      </c>
      <c r="BC62" s="1187">
        <v>6.3</v>
      </c>
      <c r="BD62" s="1172">
        <v>1000</v>
      </c>
      <c r="BE62" s="1172">
        <v>1500</v>
      </c>
      <c r="BF62" s="1172">
        <v>2000</v>
      </c>
      <c r="BG62" s="1172">
        <v>2500</v>
      </c>
      <c r="BH62" s="1172">
        <v>3250</v>
      </c>
      <c r="BI62" s="1172">
        <v>4000</v>
      </c>
      <c r="BJ62" s="1185" t="s">
        <v>1348</v>
      </c>
      <c r="BK62" s="1185"/>
      <c r="BL62" s="1185" t="s">
        <v>1390</v>
      </c>
      <c r="BM62" s="1185"/>
      <c r="BN62" s="1186">
        <v>0.35</v>
      </c>
      <c r="BO62" s="1185" t="s">
        <v>2508</v>
      </c>
      <c r="BP62" s="1185"/>
      <c r="BQ62" s="1172"/>
      <c r="BR62" s="1172"/>
      <c r="BS62" s="1172"/>
      <c r="BT62" s="1185"/>
      <c r="BU62" s="1172"/>
      <c r="BW62" s="1181"/>
    </row>
    <row r="63" spans="2:75">
      <c r="B63" s="1150" t="s">
        <v>2462</v>
      </c>
      <c r="E63" s="1060" t="s">
        <v>2395</v>
      </c>
      <c r="F63" s="1060" t="s">
        <v>2461</v>
      </c>
      <c r="I63" s="1150" t="s">
        <v>2447</v>
      </c>
      <c r="K63" s="1060" t="s">
        <v>2446</v>
      </c>
      <c r="L63" s="1293"/>
      <c r="M63" s="1060" t="s">
        <v>2446</v>
      </c>
      <c r="O63" s="1150"/>
      <c r="U63" s="1184"/>
      <c r="W63" s="1156"/>
      <c r="X63" s="1187"/>
      <c r="Y63" s="1187"/>
      <c r="Z63" s="1187"/>
      <c r="AA63" s="1187"/>
      <c r="AB63" s="1187"/>
      <c r="AC63" s="1187"/>
      <c r="AD63" s="1187"/>
      <c r="AE63" s="1187"/>
      <c r="AF63" s="1187"/>
      <c r="AG63" s="1187"/>
      <c r="AH63" s="1187"/>
      <c r="AI63" s="1187"/>
      <c r="AJ63" s="1187"/>
      <c r="AK63" s="1187"/>
      <c r="AL63" s="1187"/>
      <c r="AM63" s="1187"/>
      <c r="AN63" s="1187"/>
      <c r="AO63" s="1187"/>
      <c r="AP63" s="1187"/>
      <c r="AQ63" s="1187"/>
      <c r="AR63" s="1187"/>
      <c r="AW63" s="1181"/>
      <c r="AY63" s="1184"/>
      <c r="AZ63" s="1189">
        <v>144</v>
      </c>
      <c r="BA63" s="1185">
        <v>14</v>
      </c>
      <c r="BB63" s="1188">
        <v>50</v>
      </c>
      <c r="BC63" s="1187">
        <v>6.3</v>
      </c>
      <c r="BD63" s="1172">
        <v>1000</v>
      </c>
      <c r="BE63" s="1172">
        <v>1500</v>
      </c>
      <c r="BF63" s="1172">
        <v>2000</v>
      </c>
      <c r="BG63" s="1172">
        <v>2500</v>
      </c>
      <c r="BH63" s="1172">
        <v>3250</v>
      </c>
      <c r="BI63" s="1172">
        <v>4000</v>
      </c>
      <c r="BJ63" s="1185" t="s">
        <v>1348</v>
      </c>
      <c r="BK63" s="1185"/>
      <c r="BL63" s="1185" t="s">
        <v>1390</v>
      </c>
      <c r="BM63" s="1185"/>
      <c r="BN63" s="1186">
        <v>0.35</v>
      </c>
      <c r="BO63" s="1185" t="s">
        <v>2505</v>
      </c>
      <c r="BP63" s="1185"/>
      <c r="BQ63" s="1172"/>
      <c r="BR63" s="1172"/>
      <c r="BS63" s="1185"/>
      <c r="BT63" s="1185"/>
      <c r="BU63" s="1185"/>
      <c r="BW63" s="1181"/>
    </row>
    <row r="64" spans="2:75">
      <c r="B64" s="1150" t="s">
        <v>2455</v>
      </c>
      <c r="E64" s="1060" t="s">
        <v>2393</v>
      </c>
      <c r="F64" s="1060" t="s">
        <v>2454</v>
      </c>
      <c r="I64" s="1150" t="s">
        <v>2447</v>
      </c>
      <c r="L64" s="1293"/>
      <c r="M64" s="1060" t="s">
        <v>2446</v>
      </c>
      <c r="O64" s="1150"/>
      <c r="U64" s="1184"/>
      <c r="W64" s="1156" t="s">
        <v>2503</v>
      </c>
      <c r="X64" s="1315" t="s">
        <v>2413</v>
      </c>
      <c r="Y64" s="1185" t="s">
        <v>2412</v>
      </c>
      <c r="Z64" s="1185" t="s">
        <v>2411</v>
      </c>
      <c r="AA64" s="1185" t="s">
        <v>2410</v>
      </c>
      <c r="AB64" s="1185" t="s">
        <v>2409</v>
      </c>
      <c r="AC64" s="1185" t="s">
        <v>2408</v>
      </c>
      <c r="AD64" s="1185" t="s">
        <v>2407</v>
      </c>
      <c r="AE64" s="1185" t="s">
        <v>2406</v>
      </c>
      <c r="AF64" s="1185" t="s">
        <v>2405</v>
      </c>
      <c r="AG64" s="1060" t="s">
        <v>2404</v>
      </c>
      <c r="AH64" s="1060" t="s">
        <v>2403</v>
      </c>
      <c r="AI64" s="1185" t="s">
        <v>2402</v>
      </c>
      <c r="AJ64" s="1185" t="s">
        <v>2401</v>
      </c>
      <c r="AK64" s="1185" t="s">
        <v>2400</v>
      </c>
      <c r="AL64" s="1185" t="s">
        <v>2399</v>
      </c>
      <c r="AM64" s="1185" t="s">
        <v>2398</v>
      </c>
      <c r="AN64" s="1060" t="s">
        <v>2397</v>
      </c>
      <c r="AO64" s="1185" t="s">
        <v>2396</v>
      </c>
      <c r="AP64" s="1185" t="s">
        <v>2395</v>
      </c>
      <c r="AQ64" s="1185" t="s">
        <v>2394</v>
      </c>
      <c r="AR64" s="1060" t="s">
        <v>2393</v>
      </c>
      <c r="AS64" s="1060" t="s">
        <v>1296</v>
      </c>
      <c r="AT64" s="1060" t="s">
        <v>1297</v>
      </c>
      <c r="AU64" s="1060" t="s">
        <v>1298</v>
      </c>
      <c r="AW64" s="1181"/>
      <c r="AY64" s="1184"/>
      <c r="AZ64" s="1189">
        <v>145</v>
      </c>
      <c r="BA64" s="1185">
        <v>14</v>
      </c>
      <c r="BB64" s="1188">
        <v>35</v>
      </c>
      <c r="BC64" s="1187">
        <v>6.1</v>
      </c>
      <c r="BD64" s="1172">
        <v>1000</v>
      </c>
      <c r="BE64" s="1172">
        <v>1500</v>
      </c>
      <c r="BF64" s="1172">
        <v>2000</v>
      </c>
      <c r="BG64" s="1172">
        <v>2500</v>
      </c>
      <c r="BH64" s="1172">
        <v>3250</v>
      </c>
      <c r="BI64" s="1172">
        <v>4000</v>
      </c>
      <c r="BJ64" s="1185" t="s">
        <v>1892</v>
      </c>
      <c r="BK64" s="1185"/>
      <c r="BL64" s="1185" t="s">
        <v>1333</v>
      </c>
      <c r="BM64" s="1185"/>
      <c r="BN64" s="1186"/>
      <c r="BO64" s="1185" t="s">
        <v>2502</v>
      </c>
      <c r="BP64" s="1185"/>
      <c r="BQ64" s="1172"/>
      <c r="BR64" s="1172"/>
      <c r="BS64" s="1185"/>
      <c r="BT64" s="1185"/>
      <c r="BU64" s="1185"/>
      <c r="BW64" s="1181"/>
    </row>
    <row r="65" spans="2:75">
      <c r="B65" s="1150" t="s">
        <v>2543</v>
      </c>
      <c r="E65" s="1060" t="s">
        <v>2412</v>
      </c>
      <c r="F65" s="1060" t="s">
        <v>2542</v>
      </c>
      <c r="I65" s="1150" t="s">
        <v>2447</v>
      </c>
      <c r="K65" s="1060" t="s">
        <v>2446</v>
      </c>
      <c r="L65" s="1293"/>
      <c r="M65" s="1060" t="s">
        <v>2446</v>
      </c>
      <c r="O65" s="1296"/>
      <c r="U65" s="1184"/>
      <c r="W65" s="1304" t="s">
        <v>2499</v>
      </c>
      <c r="X65" s="1314" t="s">
        <v>2498</v>
      </c>
      <c r="Y65" s="1307" t="s">
        <v>2497</v>
      </c>
      <c r="Z65" s="1305" t="s">
        <v>2496</v>
      </c>
      <c r="AA65" s="1310" t="s">
        <v>2495</v>
      </c>
      <c r="AB65" s="1313" t="s">
        <v>2494</v>
      </c>
      <c r="AC65" s="1312" t="s">
        <v>2493</v>
      </c>
      <c r="AD65" s="1311"/>
      <c r="AE65" s="1307" t="s">
        <v>2492</v>
      </c>
      <c r="AF65" s="1310" t="s">
        <v>2491</v>
      </c>
      <c r="AG65" s="1309"/>
      <c r="AH65" s="1308" t="s">
        <v>2490</v>
      </c>
      <c r="AI65" s="1307" t="s">
        <v>2489</v>
      </c>
      <c r="AJ65" s="1305" t="s">
        <v>2488</v>
      </c>
      <c r="AK65" s="1307" t="s">
        <v>2487</v>
      </c>
      <c r="AL65" s="1307" t="s">
        <v>2486</v>
      </c>
      <c r="AM65" s="1307" t="s">
        <v>2486</v>
      </c>
      <c r="AN65" s="1307" t="s">
        <v>2485</v>
      </c>
      <c r="AO65" s="1307" t="s">
        <v>2484</v>
      </c>
      <c r="AP65" s="1305" t="s">
        <v>2483</v>
      </c>
      <c r="AQ65" s="1306" t="s">
        <v>2482</v>
      </c>
      <c r="AR65" s="1305" t="s">
        <v>2481</v>
      </c>
      <c r="AS65" s="1304"/>
      <c r="AT65" s="1304"/>
      <c r="AU65" s="1304"/>
      <c r="AV65" s="1156"/>
      <c r="AW65" s="1181"/>
      <c r="AY65" s="1184"/>
      <c r="AZ65" s="1189">
        <v>146</v>
      </c>
      <c r="BA65" s="1185">
        <v>6</v>
      </c>
      <c r="BB65" s="1188"/>
      <c r="BC65" s="1187"/>
      <c r="BD65" s="1172">
        <v>4000</v>
      </c>
      <c r="BE65" s="1172">
        <v>5000</v>
      </c>
      <c r="BF65" s="1172">
        <v>6000</v>
      </c>
      <c r="BG65" s="1172">
        <v>8000</v>
      </c>
      <c r="BH65" s="1172">
        <v>12000</v>
      </c>
      <c r="BI65" s="1172">
        <v>16000</v>
      </c>
      <c r="BJ65" s="1185"/>
      <c r="BK65" s="1185"/>
      <c r="BL65" s="1185"/>
      <c r="BM65" s="1185"/>
      <c r="BN65" s="1186">
        <v>0.7</v>
      </c>
      <c r="BO65" s="1185" t="s">
        <v>2480</v>
      </c>
      <c r="BP65" s="1185"/>
      <c r="BQ65" s="1185"/>
      <c r="BR65" s="1185"/>
      <c r="BS65" s="1185"/>
      <c r="BT65" s="1185"/>
      <c r="BU65" s="1185"/>
      <c r="BW65" s="1181"/>
    </row>
    <row r="66" spans="2:75">
      <c r="B66" s="1150" t="s">
        <v>2525</v>
      </c>
      <c r="E66" s="1060" t="s">
        <v>2407</v>
      </c>
      <c r="F66" s="1060" t="s">
        <v>810</v>
      </c>
      <c r="I66" s="1150" t="s">
        <v>2447</v>
      </c>
      <c r="L66" s="1293"/>
      <c r="M66" s="1060" t="s">
        <v>2446</v>
      </c>
      <c r="O66" s="1296"/>
      <c r="U66" s="1184"/>
      <c r="W66" s="1156" t="s">
        <v>2478</v>
      </c>
      <c r="X66" s="1303">
        <v>5.4</v>
      </c>
      <c r="Y66" s="1302">
        <v>18</v>
      </c>
      <c r="Z66" s="1302">
        <v>10</v>
      </c>
      <c r="AA66" s="1302">
        <v>10</v>
      </c>
      <c r="AB66" s="1302">
        <v>10</v>
      </c>
      <c r="AC66" s="1187">
        <v>10</v>
      </c>
      <c r="AD66" s="1187">
        <v>13.5</v>
      </c>
      <c r="AE66" s="1187">
        <v>29</v>
      </c>
      <c r="AF66" s="1302">
        <v>13</v>
      </c>
      <c r="AG66" s="1302">
        <v>13.5</v>
      </c>
      <c r="AH66" s="1187">
        <v>9</v>
      </c>
      <c r="AI66" s="1302">
        <v>12</v>
      </c>
      <c r="AJ66" s="1302">
        <v>10</v>
      </c>
      <c r="AK66" s="1301">
        <v>12</v>
      </c>
      <c r="AL66" s="1301">
        <v>18</v>
      </c>
      <c r="AM66" s="1301">
        <v>38</v>
      </c>
      <c r="AN66" s="1301">
        <v>15</v>
      </c>
      <c r="AO66" s="1187">
        <v>20</v>
      </c>
      <c r="AP66" s="1097">
        <v>13.5</v>
      </c>
      <c r="AQ66" s="1302">
        <v>20</v>
      </c>
      <c r="AR66" s="1302">
        <v>20</v>
      </c>
      <c r="AS66" s="1097"/>
      <c r="AT66" s="1097"/>
      <c r="AU66" s="1097"/>
      <c r="AV66" s="1097"/>
      <c r="AW66" s="1181"/>
      <c r="AY66" s="1184"/>
      <c r="AZ66" s="1189">
        <v>147</v>
      </c>
      <c r="BA66" s="1185">
        <v>14</v>
      </c>
      <c r="BB66" s="1188">
        <v>50</v>
      </c>
      <c r="BC66" s="1187">
        <v>6.3</v>
      </c>
      <c r="BD66" s="1172">
        <v>1000</v>
      </c>
      <c r="BE66" s="1172">
        <v>1500</v>
      </c>
      <c r="BF66" s="1172">
        <v>2000</v>
      </c>
      <c r="BG66" s="1172">
        <v>2500</v>
      </c>
      <c r="BH66" s="1172">
        <v>3250</v>
      </c>
      <c r="BI66" s="1172">
        <v>4000</v>
      </c>
      <c r="BJ66" s="1185" t="s">
        <v>1348</v>
      </c>
      <c r="BK66" s="1185"/>
      <c r="BL66" s="1185" t="s">
        <v>1390</v>
      </c>
      <c r="BM66" s="1185"/>
      <c r="BN66" s="1186"/>
      <c r="BO66" s="1185" t="s">
        <v>2477</v>
      </c>
      <c r="BP66" s="1185"/>
      <c r="BQ66" s="1185"/>
      <c r="BR66" s="1185"/>
      <c r="BS66" s="1185"/>
      <c r="BT66" s="1185"/>
      <c r="BU66" s="1172"/>
      <c r="BV66" s="1172"/>
      <c r="BW66" s="1181"/>
    </row>
    <row r="67" spans="2:75">
      <c r="B67" s="1150" t="s">
        <v>2549</v>
      </c>
      <c r="I67" s="1150" t="s">
        <v>2447</v>
      </c>
      <c r="K67" s="1060" t="s">
        <v>2446</v>
      </c>
      <c r="L67" s="1293"/>
      <c r="M67" s="1060" t="s">
        <v>2446</v>
      </c>
      <c r="O67" s="1150"/>
      <c r="U67" s="1184"/>
      <c r="W67" s="1156" t="s">
        <v>2475</v>
      </c>
      <c r="X67" s="1292">
        <f t="shared" ref="X67:AU67" si="13">X66*892.18</f>
        <v>4817.7719999999999</v>
      </c>
      <c r="Y67" s="1172">
        <f t="shared" si="13"/>
        <v>16059.24</v>
      </c>
      <c r="Z67" s="1172">
        <f t="shared" si="13"/>
        <v>8921.7999999999993</v>
      </c>
      <c r="AA67" s="1172">
        <f t="shared" si="13"/>
        <v>8921.7999999999993</v>
      </c>
      <c r="AB67" s="1172">
        <f t="shared" si="13"/>
        <v>8921.7999999999993</v>
      </c>
      <c r="AC67" s="1172">
        <f t="shared" si="13"/>
        <v>8921.7999999999993</v>
      </c>
      <c r="AD67" s="1172">
        <f t="shared" si="13"/>
        <v>12044.429999999998</v>
      </c>
      <c r="AE67" s="1172">
        <f t="shared" si="13"/>
        <v>25873.219999999998</v>
      </c>
      <c r="AF67" s="1172">
        <f t="shared" si="13"/>
        <v>11598.34</v>
      </c>
      <c r="AG67" s="1172">
        <f t="shared" si="13"/>
        <v>12044.429999999998</v>
      </c>
      <c r="AH67" s="1172">
        <f t="shared" si="13"/>
        <v>8029.62</v>
      </c>
      <c r="AI67" s="1172">
        <f t="shared" si="13"/>
        <v>10706.16</v>
      </c>
      <c r="AJ67" s="1061">
        <f t="shared" si="13"/>
        <v>8921.7999999999993</v>
      </c>
      <c r="AK67" s="1172">
        <f t="shared" si="13"/>
        <v>10706.16</v>
      </c>
      <c r="AL67" s="1172">
        <f t="shared" si="13"/>
        <v>16059.24</v>
      </c>
      <c r="AM67" s="1172">
        <f t="shared" si="13"/>
        <v>33902.839999999997</v>
      </c>
      <c r="AN67" s="1172">
        <f t="shared" si="13"/>
        <v>13382.699999999999</v>
      </c>
      <c r="AO67" s="1172">
        <f t="shared" si="13"/>
        <v>17843.599999999999</v>
      </c>
      <c r="AP67" s="1061">
        <f t="shared" si="13"/>
        <v>12044.429999999998</v>
      </c>
      <c r="AQ67" s="1172">
        <f t="shared" si="13"/>
        <v>17843.599999999999</v>
      </c>
      <c r="AR67" s="1061">
        <f t="shared" si="13"/>
        <v>17843.599999999999</v>
      </c>
      <c r="AS67" s="1061">
        <f t="shared" si="13"/>
        <v>0</v>
      </c>
      <c r="AT67" s="1061">
        <f t="shared" si="13"/>
        <v>0</v>
      </c>
      <c r="AU67" s="1061">
        <f t="shared" si="13"/>
        <v>0</v>
      </c>
      <c r="AV67" s="1061"/>
      <c r="AW67" s="1181"/>
      <c r="AY67" s="1184"/>
      <c r="AZ67" s="1189">
        <v>148</v>
      </c>
      <c r="BA67" s="1185">
        <v>14</v>
      </c>
      <c r="BB67" s="1188">
        <v>50</v>
      </c>
      <c r="BC67" s="1187">
        <v>6.3</v>
      </c>
      <c r="BD67" s="1172">
        <v>1000</v>
      </c>
      <c r="BE67" s="1172">
        <v>1500</v>
      </c>
      <c r="BF67" s="1172">
        <v>2000</v>
      </c>
      <c r="BG67" s="1172">
        <v>2500</v>
      </c>
      <c r="BH67" s="1172">
        <v>3250</v>
      </c>
      <c r="BI67" s="1172">
        <v>4000</v>
      </c>
      <c r="BJ67" s="1185" t="s">
        <v>1348</v>
      </c>
      <c r="BK67" s="1185"/>
      <c r="BL67" s="1185" t="s">
        <v>1390</v>
      </c>
      <c r="BM67" s="1185"/>
      <c r="BN67" s="1186"/>
      <c r="BO67" s="1185" t="s">
        <v>2474</v>
      </c>
      <c r="BP67" s="1185"/>
      <c r="BQ67" s="1185"/>
      <c r="BR67" s="1185"/>
      <c r="BS67" s="1185"/>
      <c r="BT67" s="1185"/>
      <c r="BU67" s="1185"/>
      <c r="BW67" s="1181"/>
    </row>
    <row r="68" spans="2:75">
      <c r="B68" s="1150" t="s">
        <v>2521</v>
      </c>
      <c r="E68" s="1060" t="s">
        <v>2406</v>
      </c>
      <c r="F68" s="1060" t="s">
        <v>811</v>
      </c>
      <c r="I68" s="1150" t="s">
        <v>2447</v>
      </c>
      <c r="L68" s="1293"/>
      <c r="M68" s="1060" t="s">
        <v>2446</v>
      </c>
      <c r="O68" s="1296"/>
      <c r="U68" s="1184"/>
      <c r="W68" s="1738" t="s">
        <v>2472</v>
      </c>
      <c r="X68" s="1298">
        <f t="shared" ref="X68:AU68" si="14">X67*$Z$61</f>
        <v>3232.8695451600001</v>
      </c>
      <c r="Y68" s="1297">
        <f t="shared" si="14"/>
        <v>10776.2318172</v>
      </c>
      <c r="Z68" s="1242">
        <f t="shared" si="14"/>
        <v>5986.7954540000001</v>
      </c>
      <c r="AA68" s="1297">
        <f t="shared" si="14"/>
        <v>5986.7954540000001</v>
      </c>
      <c r="AB68" s="1242">
        <f t="shared" si="14"/>
        <v>5986.7954540000001</v>
      </c>
      <c r="AC68" s="1297">
        <f t="shared" si="14"/>
        <v>5986.7954540000001</v>
      </c>
      <c r="AD68" s="1297">
        <f t="shared" si="14"/>
        <v>8082.1738628999992</v>
      </c>
      <c r="AE68" s="1297">
        <f t="shared" si="14"/>
        <v>17361.706816599999</v>
      </c>
      <c r="AF68" s="1297">
        <f t="shared" si="14"/>
        <v>7782.8340902</v>
      </c>
      <c r="AG68" s="1297">
        <f t="shared" si="14"/>
        <v>8082.1738628999992</v>
      </c>
      <c r="AH68" s="1242">
        <f t="shared" si="14"/>
        <v>5388.1159085999998</v>
      </c>
      <c r="AI68" s="1297">
        <f t="shared" si="14"/>
        <v>7184.1545447999997</v>
      </c>
      <c r="AJ68" s="1242">
        <f t="shared" si="14"/>
        <v>5986.7954540000001</v>
      </c>
      <c r="AK68" s="1297">
        <f t="shared" si="14"/>
        <v>7184.1545447999997</v>
      </c>
      <c r="AL68" s="1297">
        <f t="shared" si="14"/>
        <v>10776.2318172</v>
      </c>
      <c r="AM68" s="1297">
        <f t="shared" si="14"/>
        <v>22749.8227252</v>
      </c>
      <c r="AN68" s="1297">
        <f t="shared" si="14"/>
        <v>8980.1931809999987</v>
      </c>
      <c r="AO68" s="1297">
        <f t="shared" si="14"/>
        <v>11973.590908</v>
      </c>
      <c r="AP68" s="1242">
        <f t="shared" si="14"/>
        <v>8082.1738628999992</v>
      </c>
      <c r="AQ68" s="1297">
        <f t="shared" si="14"/>
        <v>11973.590908</v>
      </c>
      <c r="AR68" s="1242">
        <f t="shared" si="14"/>
        <v>11973.590908</v>
      </c>
      <c r="AS68" s="1242">
        <f t="shared" si="14"/>
        <v>0</v>
      </c>
      <c r="AT68" s="1242">
        <f t="shared" si="14"/>
        <v>0</v>
      </c>
      <c r="AU68" s="1242">
        <f t="shared" si="14"/>
        <v>0</v>
      </c>
      <c r="AV68" s="1242"/>
      <c r="AW68" s="1181"/>
      <c r="AY68" s="1184"/>
      <c r="AZ68" s="1189">
        <v>149</v>
      </c>
      <c r="BA68" s="1185">
        <v>14</v>
      </c>
      <c r="BB68" s="1188">
        <v>50</v>
      </c>
      <c r="BC68" s="1187">
        <v>6.3</v>
      </c>
      <c r="BD68" s="1172">
        <v>1000</v>
      </c>
      <c r="BE68" s="1172">
        <v>1500</v>
      </c>
      <c r="BF68" s="1172">
        <v>2000</v>
      </c>
      <c r="BG68" s="1172">
        <v>2500</v>
      </c>
      <c r="BH68" s="1172">
        <v>3250</v>
      </c>
      <c r="BI68" s="1172">
        <v>4000</v>
      </c>
      <c r="BJ68" s="1185" t="s">
        <v>1348</v>
      </c>
      <c r="BK68" s="1185"/>
      <c r="BL68" s="1185" t="s">
        <v>1390</v>
      </c>
      <c r="BM68" s="1185"/>
      <c r="BN68" s="1186"/>
      <c r="BO68" s="1185" t="s">
        <v>2471</v>
      </c>
      <c r="BP68" s="1185"/>
      <c r="BQ68" s="1172"/>
      <c r="BR68" s="1172"/>
      <c r="BS68" s="1185"/>
      <c r="BT68" s="1185"/>
      <c r="BU68" s="1185"/>
      <c r="BW68" s="1181"/>
    </row>
    <row r="69" spans="2:75">
      <c r="B69" s="1150" t="s">
        <v>2507</v>
      </c>
      <c r="E69" s="1060" t="s">
        <v>2403</v>
      </c>
      <c r="F69" s="1060" t="s">
        <v>2506</v>
      </c>
      <c r="I69" s="1150" t="s">
        <v>2447</v>
      </c>
      <c r="K69" s="1060" t="s">
        <v>2446</v>
      </c>
      <c r="L69" s="1293"/>
      <c r="M69" s="1060" t="s">
        <v>2446</v>
      </c>
      <c r="O69" s="1150"/>
      <c r="U69" s="1184"/>
      <c r="W69" s="1156" t="s">
        <v>2468</v>
      </c>
      <c r="X69" s="1172">
        <f>X67/12</f>
        <v>401.48099999999999</v>
      </c>
      <c r="Y69" s="1172"/>
      <c r="AA69" s="1172"/>
      <c r="AC69" s="1172"/>
      <c r="AD69" s="1172"/>
      <c r="AE69" s="1172"/>
      <c r="AF69" s="1172"/>
      <c r="AG69" s="1185"/>
      <c r="AI69" s="1172"/>
      <c r="AK69" s="1172">
        <f>AK67/12</f>
        <v>892.18</v>
      </c>
      <c r="AL69" s="1172">
        <f>AL67/12</f>
        <v>1338.27</v>
      </c>
      <c r="AM69" s="1172">
        <f>AM68/12</f>
        <v>1895.8185604333332</v>
      </c>
      <c r="AN69" s="1172">
        <f>AN67/12</f>
        <v>1115.2249999999999</v>
      </c>
      <c r="AO69" s="1172"/>
      <c r="AQ69" s="1185"/>
      <c r="AW69" s="1181"/>
      <c r="AY69" s="1184"/>
      <c r="AZ69" s="1189">
        <v>150</v>
      </c>
      <c r="BA69" s="1185">
        <v>2</v>
      </c>
      <c r="BB69" s="1188">
        <v>35</v>
      </c>
      <c r="BC69" s="1187">
        <v>6.9</v>
      </c>
      <c r="BD69" s="1172">
        <v>2000</v>
      </c>
      <c r="BE69" s="1172">
        <v>3000</v>
      </c>
      <c r="BF69" s="1172">
        <v>4000</v>
      </c>
      <c r="BG69" s="1172">
        <v>5000</v>
      </c>
      <c r="BH69" s="1172">
        <v>6500</v>
      </c>
      <c r="BI69" s="1172">
        <v>8000</v>
      </c>
      <c r="BJ69" s="1185" t="s">
        <v>1348</v>
      </c>
      <c r="BK69" s="1185"/>
      <c r="BL69" s="1185" t="s">
        <v>1333</v>
      </c>
      <c r="BM69" s="1185"/>
      <c r="BN69" s="1186">
        <v>0.35</v>
      </c>
      <c r="BO69" s="1185" t="s">
        <v>2467</v>
      </c>
      <c r="BP69" s="1185"/>
      <c r="BQ69" s="1185"/>
      <c r="BR69" s="1185"/>
      <c r="BS69" s="1185"/>
      <c r="BT69" s="1185"/>
      <c r="BU69" s="1185"/>
      <c r="BW69" s="1181"/>
    </row>
    <row r="70" spans="2:75">
      <c r="B70" s="1150" t="s">
        <v>2533</v>
      </c>
      <c r="E70" s="1060" t="s">
        <v>2409</v>
      </c>
      <c r="F70" s="1060" t="s">
        <v>812</v>
      </c>
      <c r="I70" s="1150" t="s">
        <v>2447</v>
      </c>
      <c r="L70" s="1293"/>
      <c r="M70" s="1060" t="s">
        <v>2446</v>
      </c>
      <c r="O70" s="1150"/>
      <c r="U70" s="1184"/>
      <c r="W70" s="1156" t="s">
        <v>2464</v>
      </c>
      <c r="X70" s="1292">
        <v>27500</v>
      </c>
      <c r="Y70" s="1172"/>
      <c r="AA70" s="1172"/>
      <c r="AC70" s="1172"/>
      <c r="AD70" s="1172"/>
      <c r="AE70" s="1172"/>
      <c r="AF70" s="1172"/>
      <c r="AG70" s="1185"/>
      <c r="AI70" s="1172"/>
      <c r="AK70" s="1172"/>
      <c r="AO70" s="1172"/>
      <c r="AQ70" s="1185"/>
      <c r="AW70" s="1181"/>
      <c r="AY70" s="1184"/>
      <c r="AZ70" s="1189">
        <v>151</v>
      </c>
      <c r="BA70" s="1185">
        <v>2</v>
      </c>
      <c r="BB70" s="1188">
        <v>35</v>
      </c>
      <c r="BC70" s="1187">
        <v>6.9</v>
      </c>
      <c r="BD70" s="1172">
        <v>2000</v>
      </c>
      <c r="BE70" s="1172">
        <v>3000</v>
      </c>
      <c r="BF70" s="1172">
        <v>4000</v>
      </c>
      <c r="BG70" s="1172">
        <v>5000</v>
      </c>
      <c r="BH70" s="1172">
        <v>6500</v>
      </c>
      <c r="BI70" s="1172">
        <v>8000</v>
      </c>
      <c r="BJ70" s="1185" t="s">
        <v>1348</v>
      </c>
      <c r="BK70" s="1185"/>
      <c r="BL70" s="1185" t="s">
        <v>1333</v>
      </c>
      <c r="BM70" s="1185"/>
      <c r="BN70" s="1186">
        <v>0.35</v>
      </c>
      <c r="BO70" s="1185" t="s">
        <v>2463</v>
      </c>
      <c r="BP70" s="1185"/>
      <c r="BQ70" s="1185"/>
      <c r="BR70" s="1185"/>
      <c r="BS70" s="1185"/>
      <c r="BT70" s="1185"/>
      <c r="BU70" s="1185"/>
      <c r="BW70" s="1181"/>
    </row>
    <row r="71" spans="2:75">
      <c r="B71" s="1150" t="s">
        <v>2539</v>
      </c>
      <c r="E71" s="1060" t="s">
        <v>2411</v>
      </c>
      <c r="F71" s="1060" t="s">
        <v>2538</v>
      </c>
      <c r="I71" s="1150" t="s">
        <v>2447</v>
      </c>
      <c r="K71" s="1060" t="s">
        <v>2446</v>
      </c>
      <c r="L71" s="1293"/>
      <c r="M71" s="1060" t="s">
        <v>2446</v>
      </c>
      <c r="O71" s="1150"/>
      <c r="U71" s="1184"/>
      <c r="W71" s="1156"/>
      <c r="X71" s="1172"/>
      <c r="Y71" s="1172"/>
      <c r="AA71" s="1172"/>
      <c r="AC71" s="1172"/>
      <c r="AD71" s="1172"/>
      <c r="AE71" s="1172"/>
      <c r="AF71" s="1172"/>
      <c r="AG71" s="1185"/>
      <c r="AI71" s="1172"/>
      <c r="AK71" s="1172"/>
      <c r="AL71" s="1172"/>
      <c r="AM71" s="1172"/>
      <c r="AN71" s="1172"/>
      <c r="AO71" s="1172"/>
      <c r="AQ71" s="1185"/>
      <c r="AW71" s="1181"/>
      <c r="AY71" s="1184"/>
      <c r="AZ71" s="1189">
        <v>152</v>
      </c>
      <c r="BA71" s="1185">
        <v>2</v>
      </c>
      <c r="BB71" s="1188"/>
      <c r="BC71" s="1187"/>
      <c r="BD71" s="1172">
        <v>2000</v>
      </c>
      <c r="BE71" s="1172">
        <v>3000</v>
      </c>
      <c r="BF71" s="1172">
        <v>4000</v>
      </c>
      <c r="BG71" s="1172">
        <v>5000</v>
      </c>
      <c r="BH71" s="1172">
        <v>6500</v>
      </c>
      <c r="BI71" s="1172">
        <v>8000</v>
      </c>
      <c r="BJ71" s="1185"/>
      <c r="BK71" s="1185"/>
      <c r="BL71" s="1185"/>
      <c r="BM71" s="1185"/>
      <c r="BN71" s="1186">
        <v>0.7</v>
      </c>
      <c r="BO71" s="1185" t="s">
        <v>2460</v>
      </c>
      <c r="BP71" s="1185"/>
      <c r="BQ71" s="1185"/>
      <c r="BR71" s="1185"/>
      <c r="BS71" s="1185"/>
      <c r="BT71" s="1185"/>
      <c r="BU71" s="1185"/>
      <c r="BW71" s="1181"/>
    </row>
    <row r="72" spans="2:75">
      <c r="B72" s="1150" t="s">
        <v>2459</v>
      </c>
      <c r="E72" s="1060" t="s">
        <v>2394</v>
      </c>
      <c r="F72" s="1060" t="s">
        <v>2458</v>
      </c>
      <c r="I72" s="1150" t="s">
        <v>2447</v>
      </c>
      <c r="L72" s="1293"/>
      <c r="M72" s="1060" t="s">
        <v>2446</v>
      </c>
      <c r="O72" s="1150"/>
      <c r="U72" s="1184"/>
      <c r="W72" s="1150" t="s">
        <v>2457</v>
      </c>
      <c r="AM72" s="1061"/>
      <c r="AS72" s="1061"/>
      <c r="AW72" s="1181"/>
      <c r="AY72" s="1184"/>
      <c r="AZ72" s="1189">
        <v>153</v>
      </c>
      <c r="BA72" s="1185">
        <v>14</v>
      </c>
      <c r="BB72" s="1188">
        <v>35</v>
      </c>
      <c r="BC72" s="1187">
        <v>6.1</v>
      </c>
      <c r="BD72" s="1172">
        <v>1000</v>
      </c>
      <c r="BE72" s="1172">
        <v>1500</v>
      </c>
      <c r="BF72" s="1172">
        <v>2000</v>
      </c>
      <c r="BG72" s="1172">
        <v>2500</v>
      </c>
      <c r="BH72" s="1172">
        <v>3250</v>
      </c>
      <c r="BI72" s="1172">
        <v>4000</v>
      </c>
      <c r="BJ72" s="1185" t="s">
        <v>1892</v>
      </c>
      <c r="BK72" s="1185"/>
      <c r="BL72" s="1185" t="s">
        <v>1333</v>
      </c>
      <c r="BM72" s="1185"/>
      <c r="BN72" s="1186"/>
      <c r="BO72" s="1185" t="s">
        <v>2456</v>
      </c>
      <c r="BP72" s="1185"/>
      <c r="BQ72" s="1185"/>
      <c r="BR72" s="1185"/>
      <c r="BS72" s="1185"/>
      <c r="BT72" s="1185"/>
      <c r="BU72" s="1172"/>
      <c r="BW72" s="1181"/>
    </row>
    <row r="73" spans="2:75">
      <c r="B73" s="1150" t="s">
        <v>2528</v>
      </c>
      <c r="E73" s="1060" t="s">
        <v>2408</v>
      </c>
      <c r="F73" s="1060" t="s">
        <v>814</v>
      </c>
      <c r="I73" s="1150" t="s">
        <v>2447</v>
      </c>
      <c r="K73" s="1060" t="s">
        <v>2446</v>
      </c>
      <c r="L73" s="1293"/>
      <c r="M73" s="1060" t="s">
        <v>2446</v>
      </c>
      <c r="O73" s="1150"/>
      <c r="U73" s="1184"/>
      <c r="W73" s="1173" t="s">
        <v>449</v>
      </c>
      <c r="X73" s="1060" t="s">
        <v>2413</v>
      </c>
      <c r="Y73" s="1060" t="s">
        <v>2412</v>
      </c>
      <c r="Z73" s="1060" t="s">
        <v>2411</v>
      </c>
      <c r="AA73" s="1060" t="s">
        <v>2410</v>
      </c>
      <c r="AB73" s="1060" t="s">
        <v>2409</v>
      </c>
      <c r="AC73" s="1060" t="s">
        <v>2408</v>
      </c>
      <c r="AD73" s="1060" t="s">
        <v>2407</v>
      </c>
      <c r="AE73" s="1060" t="s">
        <v>2406</v>
      </c>
      <c r="AF73" s="1060" t="s">
        <v>2405</v>
      </c>
      <c r="AG73" s="1060" t="s">
        <v>2404</v>
      </c>
      <c r="AH73" s="1060" t="s">
        <v>2403</v>
      </c>
      <c r="AI73" s="1060" t="s">
        <v>2402</v>
      </c>
      <c r="AJ73" s="1060" t="s">
        <v>2401</v>
      </c>
      <c r="AK73" s="1060" t="s">
        <v>2400</v>
      </c>
      <c r="AL73" s="1060" t="s">
        <v>2399</v>
      </c>
      <c r="AM73" s="1060" t="s">
        <v>2398</v>
      </c>
      <c r="AN73" s="1060" t="s">
        <v>2397</v>
      </c>
      <c r="AO73" s="1060" t="s">
        <v>2396</v>
      </c>
      <c r="AP73" s="1060" t="s">
        <v>2395</v>
      </c>
      <c r="AQ73" s="1060" t="s">
        <v>2394</v>
      </c>
      <c r="AR73" s="1174" t="s">
        <v>2393</v>
      </c>
      <c r="AS73" s="1060" t="s">
        <v>1296</v>
      </c>
      <c r="AT73" s="1060" t="s">
        <v>1297</v>
      </c>
      <c r="AU73" s="1060" t="s">
        <v>1298</v>
      </c>
      <c r="AW73" s="1181"/>
      <c r="AY73" s="1184"/>
      <c r="AZ73" s="1189">
        <v>154</v>
      </c>
      <c r="BA73" s="1185">
        <v>14</v>
      </c>
      <c r="BB73" s="1188">
        <v>50</v>
      </c>
      <c r="BC73" s="1187">
        <v>6.1</v>
      </c>
      <c r="BD73" s="1172">
        <v>1000</v>
      </c>
      <c r="BE73" s="1172">
        <v>1500</v>
      </c>
      <c r="BF73" s="1172">
        <v>2000</v>
      </c>
      <c r="BG73" s="1172">
        <v>2500</v>
      </c>
      <c r="BH73" s="1172">
        <v>3250</v>
      </c>
      <c r="BI73" s="1172">
        <v>4000</v>
      </c>
      <c r="BJ73" s="1185" t="s">
        <v>1892</v>
      </c>
      <c r="BK73" s="1185"/>
      <c r="BL73" s="1185" t="s">
        <v>1333</v>
      </c>
      <c r="BM73" s="1185"/>
      <c r="BN73" s="1186">
        <v>0.35</v>
      </c>
      <c r="BO73" s="1185" t="s">
        <v>2453</v>
      </c>
      <c r="BP73" s="1185"/>
      <c r="BQ73" s="1185"/>
      <c r="BR73" s="1185"/>
      <c r="BS73" s="1185"/>
      <c r="BT73" s="1185"/>
      <c r="BU73" s="1185"/>
      <c r="BW73" s="1181"/>
    </row>
    <row r="74" spans="2:75">
      <c r="B74" s="1060" t="s">
        <v>2452</v>
      </c>
      <c r="F74" s="1060" t="s">
        <v>2452</v>
      </c>
      <c r="I74" s="1150" t="s">
        <v>2447</v>
      </c>
      <c r="L74" s="1293"/>
      <c r="M74" s="1060" t="s">
        <v>2446</v>
      </c>
      <c r="U74" s="1184"/>
      <c r="W74" s="1203" t="s">
        <v>276</v>
      </c>
      <c r="X74" s="1295">
        <f>X$68*0.058</f>
        <v>187.50643361928002</v>
      </c>
      <c r="Y74" s="1294">
        <f t="shared" ref="Y74:AH85" si="15">Y$68*(1/12)</f>
        <v>898.01931809999996</v>
      </c>
      <c r="Z74" s="1294">
        <f t="shared" si="15"/>
        <v>498.89962116666663</v>
      </c>
      <c r="AA74" s="1294">
        <f t="shared" si="15"/>
        <v>498.89962116666663</v>
      </c>
      <c r="AB74" s="1294">
        <f t="shared" si="15"/>
        <v>498.89962116666663</v>
      </c>
      <c r="AC74" s="1294">
        <f t="shared" si="15"/>
        <v>498.89962116666663</v>
      </c>
      <c r="AD74" s="1294">
        <f t="shared" si="15"/>
        <v>673.51448857499986</v>
      </c>
      <c r="AE74" s="1294">
        <f t="shared" si="15"/>
        <v>1446.8089013833333</v>
      </c>
      <c r="AF74" s="1294">
        <f t="shared" si="15"/>
        <v>648.56950751666659</v>
      </c>
      <c r="AG74" s="1294">
        <f t="shared" si="15"/>
        <v>673.51448857499986</v>
      </c>
      <c r="AH74" s="1244">
        <f t="shared" si="15"/>
        <v>449.00965904999998</v>
      </c>
      <c r="AI74" s="1294">
        <f t="shared" ref="AI74:AU85" si="16">AI$68*(1/12)</f>
        <v>598.67954539999994</v>
      </c>
      <c r="AJ74" s="1294">
        <f t="shared" si="16"/>
        <v>498.89962116666663</v>
      </c>
      <c r="AK74" s="1294">
        <f t="shared" si="16"/>
        <v>598.67954539999994</v>
      </c>
      <c r="AL74" s="1294">
        <f t="shared" si="16"/>
        <v>898.01931809999996</v>
      </c>
      <c r="AM74" s="1294">
        <f t="shared" si="16"/>
        <v>1895.8185604333332</v>
      </c>
      <c r="AN74" s="1244">
        <f t="shared" si="16"/>
        <v>748.34943174999989</v>
      </c>
      <c r="AO74" s="1294">
        <f t="shared" si="16"/>
        <v>997.79924233333327</v>
      </c>
      <c r="AP74" s="1294">
        <f t="shared" si="16"/>
        <v>673.51448857499986</v>
      </c>
      <c r="AQ74" s="1294">
        <f t="shared" si="16"/>
        <v>997.79924233333327</v>
      </c>
      <c r="AR74" s="1244">
        <f t="shared" si="16"/>
        <v>997.79924233333327</v>
      </c>
      <c r="AS74" s="1244">
        <f t="shared" si="16"/>
        <v>0</v>
      </c>
      <c r="AT74" s="1244">
        <f t="shared" si="16"/>
        <v>0</v>
      </c>
      <c r="AU74" s="1244">
        <f t="shared" si="16"/>
        <v>0</v>
      </c>
      <c r="AV74" s="1061"/>
      <c r="AW74" s="1181"/>
      <c r="AY74" s="1184"/>
      <c r="AZ74" s="1189">
        <v>155</v>
      </c>
      <c r="BA74" s="1185">
        <v>14</v>
      </c>
      <c r="BB74" s="1188">
        <v>35</v>
      </c>
      <c r="BC74" s="1187">
        <v>6.1</v>
      </c>
      <c r="BD74" s="1172">
        <v>1000</v>
      </c>
      <c r="BE74" s="1172">
        <v>1500</v>
      </c>
      <c r="BF74" s="1172">
        <v>2000</v>
      </c>
      <c r="BG74" s="1172">
        <v>2500</v>
      </c>
      <c r="BH74" s="1172">
        <v>3250</v>
      </c>
      <c r="BI74" s="1172">
        <v>4000</v>
      </c>
      <c r="BJ74" s="1185" t="s">
        <v>1892</v>
      </c>
      <c r="BK74" s="1185"/>
      <c r="BL74" s="1185" t="s">
        <v>1333</v>
      </c>
      <c r="BM74" s="1185"/>
      <c r="BN74" s="1186"/>
      <c r="BO74" s="1185" t="s">
        <v>2451</v>
      </c>
      <c r="BP74" s="1185"/>
      <c r="BQ74" s="1172"/>
      <c r="BR74" s="1172"/>
      <c r="BS74" s="1185"/>
      <c r="BT74" s="1185"/>
      <c r="BU74" s="1185"/>
      <c r="BW74" s="1181"/>
    </row>
    <row r="75" spans="2:75">
      <c r="B75" s="1060" t="s">
        <v>2450</v>
      </c>
      <c r="F75" s="1060" t="s">
        <v>2450</v>
      </c>
      <c r="I75" s="1150" t="s">
        <v>2447</v>
      </c>
      <c r="K75" s="1060" t="s">
        <v>2446</v>
      </c>
      <c r="L75" s="1293"/>
      <c r="M75" s="1060" t="s">
        <v>2446</v>
      </c>
      <c r="U75" s="1184"/>
      <c r="W75" s="1060" t="s">
        <v>277</v>
      </c>
      <c r="X75" s="1292">
        <f>X$68*0.064</f>
        <v>206.90365089024002</v>
      </c>
      <c r="Y75" s="1172">
        <f t="shared" si="15"/>
        <v>898.01931809999996</v>
      </c>
      <c r="Z75" s="1172">
        <f t="shared" si="15"/>
        <v>498.89962116666663</v>
      </c>
      <c r="AA75" s="1172">
        <f t="shared" si="15"/>
        <v>498.89962116666663</v>
      </c>
      <c r="AB75" s="1172">
        <f t="shared" si="15"/>
        <v>498.89962116666663</v>
      </c>
      <c r="AC75" s="1172">
        <f t="shared" si="15"/>
        <v>498.89962116666663</v>
      </c>
      <c r="AD75" s="1172">
        <f t="shared" si="15"/>
        <v>673.51448857499986</v>
      </c>
      <c r="AE75" s="1172">
        <f t="shared" si="15"/>
        <v>1446.8089013833333</v>
      </c>
      <c r="AF75" s="1172">
        <f t="shared" si="15"/>
        <v>648.56950751666659</v>
      </c>
      <c r="AG75" s="1172">
        <f t="shared" si="15"/>
        <v>673.51448857499986</v>
      </c>
      <c r="AH75" s="1061">
        <f t="shared" si="15"/>
        <v>449.00965904999998</v>
      </c>
      <c r="AI75" s="1172">
        <f t="shared" si="16"/>
        <v>598.67954539999994</v>
      </c>
      <c r="AJ75" s="1172">
        <f t="shared" si="16"/>
        <v>498.89962116666663</v>
      </c>
      <c r="AK75" s="1172">
        <f t="shared" si="16"/>
        <v>598.67954539999994</v>
      </c>
      <c r="AL75" s="1172">
        <f t="shared" si="16"/>
        <v>898.01931809999996</v>
      </c>
      <c r="AM75" s="1172">
        <f t="shared" si="16"/>
        <v>1895.8185604333332</v>
      </c>
      <c r="AN75" s="1061">
        <f t="shared" si="16"/>
        <v>748.34943174999989</v>
      </c>
      <c r="AO75" s="1172">
        <f t="shared" si="16"/>
        <v>997.79924233333327</v>
      </c>
      <c r="AP75" s="1172">
        <f t="shared" si="16"/>
        <v>673.51448857499986</v>
      </c>
      <c r="AQ75" s="1172">
        <f t="shared" si="16"/>
        <v>997.79924233333327</v>
      </c>
      <c r="AR75" s="1061">
        <f t="shared" si="16"/>
        <v>997.79924233333327</v>
      </c>
      <c r="AS75" s="1061">
        <f t="shared" si="16"/>
        <v>0</v>
      </c>
      <c r="AT75" s="1061">
        <f t="shared" si="16"/>
        <v>0</v>
      </c>
      <c r="AU75" s="1061">
        <f t="shared" si="16"/>
        <v>0</v>
      </c>
      <c r="AV75" s="1061"/>
      <c r="AW75" s="1181"/>
      <c r="AY75" s="1184"/>
      <c r="AZ75" s="1189">
        <v>156</v>
      </c>
      <c r="BA75" s="1172">
        <v>2</v>
      </c>
      <c r="BB75" s="1188">
        <v>35</v>
      </c>
      <c r="BC75" s="1187">
        <v>6.1</v>
      </c>
      <c r="BD75" s="1172">
        <v>2000</v>
      </c>
      <c r="BE75" s="1172">
        <v>3000</v>
      </c>
      <c r="BF75" s="1172">
        <v>4000</v>
      </c>
      <c r="BG75" s="1172">
        <v>5000</v>
      </c>
      <c r="BH75" s="1172">
        <v>6500</v>
      </c>
      <c r="BI75" s="1172">
        <v>8000</v>
      </c>
      <c r="BJ75" s="1185" t="s">
        <v>1348</v>
      </c>
      <c r="BK75" s="1185"/>
      <c r="BL75" s="1185" t="s">
        <v>1333</v>
      </c>
      <c r="BM75" s="1185"/>
      <c r="BN75" s="1186"/>
      <c r="BO75" s="1185" t="s">
        <v>2449</v>
      </c>
      <c r="BP75" s="1185"/>
      <c r="BQ75" s="1185"/>
      <c r="BR75" s="1185"/>
      <c r="BS75" s="1185"/>
      <c r="BT75" s="1185"/>
      <c r="BU75" s="1185"/>
      <c r="BW75" s="1181"/>
    </row>
    <row r="76" spans="2:75">
      <c r="B76" s="1060" t="s">
        <v>2448</v>
      </c>
      <c r="F76" s="1060" t="s">
        <v>2448</v>
      </c>
      <c r="I76" s="1150" t="s">
        <v>2447</v>
      </c>
      <c r="L76" s="1293"/>
      <c r="M76" s="1060" t="s">
        <v>2446</v>
      </c>
      <c r="U76" s="1184"/>
      <c r="W76" s="1060" t="s">
        <v>88</v>
      </c>
      <c r="X76" s="1292">
        <f>X$68*0.076</f>
        <v>245.69808543216001</v>
      </c>
      <c r="Y76" s="1172">
        <f t="shared" si="15"/>
        <v>898.01931809999996</v>
      </c>
      <c r="Z76" s="1172">
        <f t="shared" si="15"/>
        <v>498.89962116666663</v>
      </c>
      <c r="AA76" s="1172">
        <f t="shared" si="15"/>
        <v>498.89962116666663</v>
      </c>
      <c r="AB76" s="1172">
        <f t="shared" si="15"/>
        <v>498.89962116666663</v>
      </c>
      <c r="AC76" s="1172">
        <f t="shared" si="15"/>
        <v>498.89962116666663</v>
      </c>
      <c r="AD76" s="1172">
        <f t="shared" si="15"/>
        <v>673.51448857499986</v>
      </c>
      <c r="AE76" s="1172">
        <f t="shared" si="15"/>
        <v>1446.8089013833333</v>
      </c>
      <c r="AF76" s="1172">
        <f t="shared" si="15"/>
        <v>648.56950751666659</v>
      </c>
      <c r="AG76" s="1172">
        <f t="shared" si="15"/>
        <v>673.51448857499986</v>
      </c>
      <c r="AH76" s="1061">
        <f t="shared" si="15"/>
        <v>449.00965904999998</v>
      </c>
      <c r="AI76" s="1172">
        <f t="shared" si="16"/>
        <v>598.67954539999994</v>
      </c>
      <c r="AJ76" s="1172">
        <f t="shared" si="16"/>
        <v>498.89962116666663</v>
      </c>
      <c r="AK76" s="1172">
        <f t="shared" si="16"/>
        <v>598.67954539999994</v>
      </c>
      <c r="AL76" s="1172">
        <f t="shared" si="16"/>
        <v>898.01931809999996</v>
      </c>
      <c r="AM76" s="1172">
        <f t="shared" si="16"/>
        <v>1895.8185604333332</v>
      </c>
      <c r="AN76" s="1061">
        <f t="shared" si="16"/>
        <v>748.34943174999989</v>
      </c>
      <c r="AO76" s="1172">
        <f t="shared" si="16"/>
        <v>997.79924233333327</v>
      </c>
      <c r="AP76" s="1172">
        <f t="shared" si="16"/>
        <v>673.51448857499986</v>
      </c>
      <c r="AQ76" s="1172">
        <f t="shared" si="16"/>
        <v>997.79924233333327</v>
      </c>
      <c r="AR76" s="1061">
        <f t="shared" si="16"/>
        <v>997.79924233333327</v>
      </c>
      <c r="AS76" s="1061">
        <f t="shared" si="16"/>
        <v>0</v>
      </c>
      <c r="AT76" s="1061">
        <f t="shared" si="16"/>
        <v>0</v>
      </c>
      <c r="AU76" s="1061">
        <f t="shared" si="16"/>
        <v>0</v>
      </c>
      <c r="AV76" s="1061"/>
      <c r="AW76" s="1181"/>
      <c r="AY76" s="1184"/>
      <c r="AZ76" s="1189">
        <v>157</v>
      </c>
      <c r="BA76" s="1172">
        <v>2</v>
      </c>
      <c r="BB76" s="1188">
        <v>35</v>
      </c>
      <c r="BC76" s="1187">
        <v>6.1</v>
      </c>
      <c r="BD76" s="1172">
        <v>2000</v>
      </c>
      <c r="BE76" s="1172">
        <v>3000</v>
      </c>
      <c r="BF76" s="1172">
        <v>4000</v>
      </c>
      <c r="BG76" s="1172">
        <v>5000</v>
      </c>
      <c r="BH76" s="1172">
        <v>6500</v>
      </c>
      <c r="BI76" s="1172">
        <v>8000</v>
      </c>
      <c r="BJ76" s="1185" t="s">
        <v>1348</v>
      </c>
      <c r="BK76" s="1185"/>
      <c r="BL76" s="1185" t="s">
        <v>1333</v>
      </c>
      <c r="BM76" s="1185"/>
      <c r="BN76" s="1186"/>
      <c r="BO76" s="1185" t="s">
        <v>2445</v>
      </c>
      <c r="BP76" s="1185"/>
      <c r="BQ76" s="1185"/>
      <c r="BR76" s="1185"/>
      <c r="BS76" s="1185"/>
      <c r="BT76" s="1185"/>
      <c r="BU76" s="1185"/>
      <c r="BW76" s="1181"/>
    </row>
    <row r="77" spans="2:75">
      <c r="U77" s="1184"/>
      <c r="W77" s="1060" t="s">
        <v>89</v>
      </c>
      <c r="X77" s="1292">
        <f>X$68*0.091</f>
        <v>294.19112860956</v>
      </c>
      <c r="Y77" s="1172">
        <f t="shared" si="15"/>
        <v>898.01931809999996</v>
      </c>
      <c r="Z77" s="1172">
        <f t="shared" si="15"/>
        <v>498.89962116666663</v>
      </c>
      <c r="AA77" s="1172">
        <f t="shared" si="15"/>
        <v>498.89962116666663</v>
      </c>
      <c r="AB77" s="1172">
        <f t="shared" si="15"/>
        <v>498.89962116666663</v>
      </c>
      <c r="AC77" s="1172">
        <f t="shared" si="15"/>
        <v>498.89962116666663</v>
      </c>
      <c r="AD77" s="1172">
        <f t="shared" si="15"/>
        <v>673.51448857499986</v>
      </c>
      <c r="AE77" s="1172">
        <f t="shared" si="15"/>
        <v>1446.8089013833333</v>
      </c>
      <c r="AF77" s="1172">
        <f t="shared" si="15"/>
        <v>648.56950751666659</v>
      </c>
      <c r="AG77" s="1172">
        <f t="shared" si="15"/>
        <v>673.51448857499986</v>
      </c>
      <c r="AH77" s="1061">
        <f t="shared" si="15"/>
        <v>449.00965904999998</v>
      </c>
      <c r="AI77" s="1172">
        <f t="shared" si="16"/>
        <v>598.67954539999994</v>
      </c>
      <c r="AJ77" s="1172">
        <f t="shared" si="16"/>
        <v>498.89962116666663</v>
      </c>
      <c r="AK77" s="1172">
        <f t="shared" si="16"/>
        <v>598.67954539999994</v>
      </c>
      <c r="AL77" s="1172">
        <f t="shared" si="16"/>
        <v>898.01931809999996</v>
      </c>
      <c r="AM77" s="1172">
        <f t="shared" si="16"/>
        <v>1895.8185604333332</v>
      </c>
      <c r="AN77" s="1061">
        <f t="shared" si="16"/>
        <v>748.34943174999989</v>
      </c>
      <c r="AO77" s="1172">
        <f t="shared" si="16"/>
        <v>997.79924233333327</v>
      </c>
      <c r="AP77" s="1172">
        <f t="shared" si="16"/>
        <v>673.51448857499986</v>
      </c>
      <c r="AQ77" s="1172">
        <f t="shared" si="16"/>
        <v>997.79924233333327</v>
      </c>
      <c r="AR77" s="1061">
        <f t="shared" si="16"/>
        <v>997.79924233333327</v>
      </c>
      <c r="AS77" s="1061">
        <f t="shared" si="16"/>
        <v>0</v>
      </c>
      <c r="AT77" s="1061">
        <f t="shared" si="16"/>
        <v>0</v>
      </c>
      <c r="AU77" s="1061">
        <f t="shared" si="16"/>
        <v>0</v>
      </c>
      <c r="AV77" s="1061"/>
      <c r="AW77" s="1181"/>
      <c r="AY77" s="1184"/>
      <c r="AZ77" s="1189">
        <v>158</v>
      </c>
      <c r="BA77" s="1172">
        <v>2</v>
      </c>
      <c r="BB77" s="1188">
        <v>0</v>
      </c>
      <c r="BC77" s="1187">
        <v>7</v>
      </c>
      <c r="BD77" s="1172">
        <v>2000</v>
      </c>
      <c r="BE77" s="1172">
        <v>3000</v>
      </c>
      <c r="BF77" s="1172">
        <v>4000</v>
      </c>
      <c r="BG77" s="1172">
        <v>5000</v>
      </c>
      <c r="BH77" s="1172">
        <v>6500</v>
      </c>
      <c r="BI77" s="1172">
        <v>8000</v>
      </c>
      <c r="BJ77" s="1185" t="s">
        <v>1348</v>
      </c>
      <c r="BK77" s="1185"/>
      <c r="BL77" s="1185" t="s">
        <v>1333</v>
      </c>
      <c r="BM77" s="1185"/>
      <c r="BN77" s="1186">
        <v>0.7</v>
      </c>
      <c r="BO77" s="1185" t="s">
        <v>2444</v>
      </c>
      <c r="BP77" s="1185"/>
      <c r="BQ77" s="1185"/>
      <c r="BR77" s="1185"/>
      <c r="BS77" s="1185"/>
      <c r="BT77" s="1185"/>
      <c r="BU77" s="1185"/>
      <c r="BW77" s="1181"/>
    </row>
    <row r="78" spans="2:75">
      <c r="U78" s="1184"/>
      <c r="W78" s="1060" t="s">
        <v>39</v>
      </c>
      <c r="X78" s="1292">
        <f>X$68*0.104</f>
        <v>336.21843269663998</v>
      </c>
      <c r="Y78" s="1172">
        <f t="shared" si="15"/>
        <v>898.01931809999996</v>
      </c>
      <c r="Z78" s="1172">
        <f t="shared" si="15"/>
        <v>498.89962116666663</v>
      </c>
      <c r="AA78" s="1172">
        <f t="shared" si="15"/>
        <v>498.89962116666663</v>
      </c>
      <c r="AB78" s="1172">
        <f t="shared" si="15"/>
        <v>498.89962116666663</v>
      </c>
      <c r="AC78" s="1172">
        <f t="shared" si="15"/>
        <v>498.89962116666663</v>
      </c>
      <c r="AD78" s="1172">
        <f t="shared" si="15"/>
        <v>673.51448857499986</v>
      </c>
      <c r="AE78" s="1172">
        <f t="shared" si="15"/>
        <v>1446.8089013833333</v>
      </c>
      <c r="AF78" s="1172">
        <f t="shared" si="15"/>
        <v>648.56950751666659</v>
      </c>
      <c r="AG78" s="1172">
        <f t="shared" si="15"/>
        <v>673.51448857499986</v>
      </c>
      <c r="AH78" s="1061">
        <f t="shared" si="15"/>
        <v>449.00965904999998</v>
      </c>
      <c r="AI78" s="1172">
        <f t="shared" si="16"/>
        <v>598.67954539999994</v>
      </c>
      <c r="AJ78" s="1172">
        <f t="shared" si="16"/>
        <v>498.89962116666663</v>
      </c>
      <c r="AK78" s="1172">
        <f t="shared" si="16"/>
        <v>598.67954539999994</v>
      </c>
      <c r="AL78" s="1172">
        <f t="shared" si="16"/>
        <v>898.01931809999996</v>
      </c>
      <c r="AM78" s="1172">
        <f t="shared" si="16"/>
        <v>1895.8185604333332</v>
      </c>
      <c r="AN78" s="1061">
        <f t="shared" si="16"/>
        <v>748.34943174999989</v>
      </c>
      <c r="AO78" s="1172">
        <f t="shared" si="16"/>
        <v>997.79924233333327</v>
      </c>
      <c r="AP78" s="1172">
        <f t="shared" si="16"/>
        <v>673.51448857499986</v>
      </c>
      <c r="AQ78" s="1172">
        <f t="shared" si="16"/>
        <v>997.79924233333327</v>
      </c>
      <c r="AR78" s="1061">
        <f t="shared" si="16"/>
        <v>997.79924233333327</v>
      </c>
      <c r="AS78" s="1061">
        <f t="shared" si="16"/>
        <v>0</v>
      </c>
      <c r="AT78" s="1061">
        <f t="shared" si="16"/>
        <v>0</v>
      </c>
      <c r="AU78" s="1061">
        <f t="shared" si="16"/>
        <v>0</v>
      </c>
      <c r="AV78" s="1061"/>
      <c r="AW78" s="1181"/>
      <c r="AY78" s="1184"/>
      <c r="AZ78" s="1189">
        <v>159</v>
      </c>
      <c r="BA78" s="1172">
        <v>2</v>
      </c>
      <c r="BB78" s="1188">
        <v>35</v>
      </c>
      <c r="BC78" s="1187">
        <v>6.1</v>
      </c>
      <c r="BD78" s="1172">
        <v>2000</v>
      </c>
      <c r="BE78" s="1172">
        <v>3000</v>
      </c>
      <c r="BF78" s="1172">
        <v>4000</v>
      </c>
      <c r="BG78" s="1172">
        <v>5000</v>
      </c>
      <c r="BH78" s="1172">
        <v>6500</v>
      </c>
      <c r="BI78" s="1172">
        <v>8000</v>
      </c>
      <c r="BJ78" s="1185" t="s">
        <v>1348</v>
      </c>
      <c r="BK78" s="1185"/>
      <c r="BL78" s="1185" t="s">
        <v>1333</v>
      </c>
      <c r="BM78" s="1185"/>
      <c r="BN78" s="1186"/>
      <c r="BO78" s="1185" t="s">
        <v>2443</v>
      </c>
      <c r="BP78" s="1185"/>
      <c r="BQ78" s="1185"/>
      <c r="BR78" s="1185"/>
      <c r="BS78" s="1185"/>
      <c r="BT78" s="1185"/>
      <c r="BU78" s="1185"/>
      <c r="BW78" s="1181"/>
    </row>
    <row r="79" spans="2:75">
      <c r="U79" s="1184"/>
      <c r="W79" s="1060" t="s">
        <v>90</v>
      </c>
      <c r="X79" s="1292">
        <f>X$68*0.115</f>
        <v>371.77999769340005</v>
      </c>
      <c r="Y79" s="1172">
        <f t="shared" si="15"/>
        <v>898.01931809999996</v>
      </c>
      <c r="Z79" s="1172">
        <f t="shared" si="15"/>
        <v>498.89962116666663</v>
      </c>
      <c r="AA79" s="1172">
        <f t="shared" si="15"/>
        <v>498.89962116666663</v>
      </c>
      <c r="AB79" s="1172">
        <f t="shared" si="15"/>
        <v>498.89962116666663</v>
      </c>
      <c r="AC79" s="1172">
        <f t="shared" si="15"/>
        <v>498.89962116666663</v>
      </c>
      <c r="AD79" s="1172">
        <f t="shared" si="15"/>
        <v>673.51448857499986</v>
      </c>
      <c r="AE79" s="1172">
        <f t="shared" si="15"/>
        <v>1446.8089013833333</v>
      </c>
      <c r="AF79" s="1172">
        <f t="shared" si="15"/>
        <v>648.56950751666659</v>
      </c>
      <c r="AG79" s="1172">
        <f t="shared" si="15"/>
        <v>673.51448857499986</v>
      </c>
      <c r="AH79" s="1061">
        <f t="shared" si="15"/>
        <v>449.00965904999998</v>
      </c>
      <c r="AI79" s="1172">
        <f t="shared" si="16"/>
        <v>598.67954539999994</v>
      </c>
      <c r="AJ79" s="1172">
        <f t="shared" si="16"/>
        <v>498.89962116666663</v>
      </c>
      <c r="AK79" s="1172">
        <f t="shared" si="16"/>
        <v>598.67954539999994</v>
      </c>
      <c r="AL79" s="1172">
        <f t="shared" si="16"/>
        <v>898.01931809999996</v>
      </c>
      <c r="AM79" s="1172">
        <f t="shared" si="16"/>
        <v>1895.8185604333332</v>
      </c>
      <c r="AN79" s="1061">
        <f t="shared" si="16"/>
        <v>748.34943174999989</v>
      </c>
      <c r="AO79" s="1172">
        <f t="shared" si="16"/>
        <v>997.79924233333327</v>
      </c>
      <c r="AP79" s="1172">
        <f t="shared" si="16"/>
        <v>673.51448857499986</v>
      </c>
      <c r="AQ79" s="1172">
        <f t="shared" si="16"/>
        <v>997.79924233333327</v>
      </c>
      <c r="AR79" s="1061">
        <f t="shared" si="16"/>
        <v>997.79924233333327</v>
      </c>
      <c r="AS79" s="1061">
        <f t="shared" si="16"/>
        <v>0</v>
      </c>
      <c r="AT79" s="1061">
        <f t="shared" si="16"/>
        <v>0</v>
      </c>
      <c r="AU79" s="1061">
        <f t="shared" si="16"/>
        <v>0</v>
      </c>
      <c r="AV79" s="1061"/>
      <c r="AW79" s="1181"/>
      <c r="AY79" s="1184"/>
      <c r="AZ79" s="1189">
        <v>160</v>
      </c>
      <c r="BA79" s="1185">
        <v>14</v>
      </c>
      <c r="BB79" s="1188">
        <v>50</v>
      </c>
      <c r="BC79" s="1187">
        <v>5.4</v>
      </c>
      <c r="BD79" s="1172">
        <v>1000</v>
      </c>
      <c r="BE79" s="1172">
        <v>1500</v>
      </c>
      <c r="BF79" s="1172">
        <v>2000</v>
      </c>
      <c r="BG79" s="1172">
        <v>2500</v>
      </c>
      <c r="BH79" s="1172">
        <v>3250</v>
      </c>
      <c r="BI79" s="1172">
        <v>4000</v>
      </c>
      <c r="BJ79" s="1185" t="s">
        <v>1892</v>
      </c>
      <c r="BK79" s="1185"/>
      <c r="BL79" s="1185" t="s">
        <v>1333</v>
      </c>
      <c r="BM79" s="1185"/>
      <c r="BN79" s="1186"/>
      <c r="BO79" s="1185" t="s">
        <v>2442</v>
      </c>
      <c r="BP79" s="1185"/>
      <c r="BQ79" s="1185"/>
      <c r="BR79" s="1185"/>
      <c r="BS79" s="1185"/>
      <c r="BT79" s="1185"/>
      <c r="BU79" s="1185"/>
      <c r="BW79" s="1181"/>
    </row>
    <row r="80" spans="2:75">
      <c r="U80" s="1184"/>
      <c r="W80" s="1060" t="s">
        <v>91</v>
      </c>
      <c r="X80" s="1292">
        <f>X$68*0.119</f>
        <v>384.71147587403999</v>
      </c>
      <c r="Y80" s="1172">
        <f t="shared" si="15"/>
        <v>898.01931809999996</v>
      </c>
      <c r="Z80" s="1172">
        <f t="shared" si="15"/>
        <v>498.89962116666663</v>
      </c>
      <c r="AA80" s="1172">
        <f t="shared" si="15"/>
        <v>498.89962116666663</v>
      </c>
      <c r="AB80" s="1172">
        <f t="shared" si="15"/>
        <v>498.89962116666663</v>
      </c>
      <c r="AC80" s="1172">
        <f t="shared" si="15"/>
        <v>498.89962116666663</v>
      </c>
      <c r="AD80" s="1172">
        <f t="shared" si="15"/>
        <v>673.51448857499986</v>
      </c>
      <c r="AE80" s="1172">
        <f t="shared" si="15"/>
        <v>1446.8089013833333</v>
      </c>
      <c r="AF80" s="1172">
        <f t="shared" si="15"/>
        <v>648.56950751666659</v>
      </c>
      <c r="AG80" s="1172">
        <f t="shared" si="15"/>
        <v>673.51448857499986</v>
      </c>
      <c r="AH80" s="1061">
        <f t="shared" si="15"/>
        <v>449.00965904999998</v>
      </c>
      <c r="AI80" s="1172">
        <f t="shared" si="16"/>
        <v>598.67954539999994</v>
      </c>
      <c r="AJ80" s="1172">
        <f t="shared" si="16"/>
        <v>498.89962116666663</v>
      </c>
      <c r="AK80" s="1172">
        <f t="shared" si="16"/>
        <v>598.67954539999994</v>
      </c>
      <c r="AL80" s="1172">
        <f t="shared" si="16"/>
        <v>898.01931809999996</v>
      </c>
      <c r="AM80" s="1172">
        <f t="shared" si="16"/>
        <v>1895.8185604333332</v>
      </c>
      <c r="AN80" s="1061">
        <f t="shared" si="16"/>
        <v>748.34943174999989</v>
      </c>
      <c r="AO80" s="1172">
        <f t="shared" si="16"/>
        <v>997.79924233333327</v>
      </c>
      <c r="AP80" s="1172">
        <f t="shared" si="16"/>
        <v>673.51448857499986</v>
      </c>
      <c r="AQ80" s="1172">
        <f t="shared" si="16"/>
        <v>997.79924233333327</v>
      </c>
      <c r="AR80" s="1061">
        <f t="shared" si="16"/>
        <v>997.79924233333327</v>
      </c>
      <c r="AS80" s="1061">
        <f t="shared" si="16"/>
        <v>0</v>
      </c>
      <c r="AT80" s="1061">
        <f t="shared" si="16"/>
        <v>0</v>
      </c>
      <c r="AU80" s="1061">
        <f t="shared" si="16"/>
        <v>0</v>
      </c>
      <c r="AV80" s="1061"/>
      <c r="AW80" s="1181"/>
      <c r="AY80" s="1184"/>
      <c r="AZ80" s="1189">
        <v>161</v>
      </c>
      <c r="BA80" s="1185">
        <v>14</v>
      </c>
      <c r="BB80" s="1188">
        <v>50</v>
      </c>
      <c r="BC80" s="1187">
        <v>5.4</v>
      </c>
      <c r="BD80" s="1172">
        <v>1000</v>
      </c>
      <c r="BE80" s="1172">
        <v>1500</v>
      </c>
      <c r="BF80" s="1172">
        <v>2000</v>
      </c>
      <c r="BG80" s="1172">
        <v>2500</v>
      </c>
      <c r="BH80" s="1172">
        <v>3250</v>
      </c>
      <c r="BI80" s="1172">
        <v>4000</v>
      </c>
      <c r="BJ80" s="1185" t="s">
        <v>1892</v>
      </c>
      <c r="BK80" s="1185"/>
      <c r="BL80" s="1185" t="s">
        <v>1333</v>
      </c>
      <c r="BM80" s="1185"/>
      <c r="BN80" s="1186"/>
      <c r="BO80" s="1185" t="s">
        <v>2441</v>
      </c>
      <c r="BP80" s="1185"/>
      <c r="BQ80" s="1185"/>
      <c r="BR80" s="1185"/>
      <c r="BS80" s="1185"/>
      <c r="BT80" s="1185"/>
      <c r="BU80" s="1185"/>
      <c r="BW80" s="1181"/>
    </row>
    <row r="81" spans="21:75">
      <c r="U81" s="1184"/>
      <c r="W81" s="1060" t="s">
        <v>92</v>
      </c>
      <c r="X81" s="1292">
        <f>X$68*0.112</f>
        <v>362.08138905792003</v>
      </c>
      <c r="Y81" s="1172">
        <f t="shared" si="15"/>
        <v>898.01931809999996</v>
      </c>
      <c r="Z81" s="1172">
        <f t="shared" si="15"/>
        <v>498.89962116666663</v>
      </c>
      <c r="AA81" s="1172">
        <f t="shared" si="15"/>
        <v>498.89962116666663</v>
      </c>
      <c r="AB81" s="1172">
        <f t="shared" si="15"/>
        <v>498.89962116666663</v>
      </c>
      <c r="AC81" s="1172">
        <f t="shared" si="15"/>
        <v>498.89962116666663</v>
      </c>
      <c r="AD81" s="1172">
        <f t="shared" si="15"/>
        <v>673.51448857499986</v>
      </c>
      <c r="AE81" s="1172">
        <f t="shared" si="15"/>
        <v>1446.8089013833333</v>
      </c>
      <c r="AF81" s="1172">
        <f t="shared" si="15"/>
        <v>648.56950751666659</v>
      </c>
      <c r="AG81" s="1172">
        <f t="shared" si="15"/>
        <v>673.51448857499986</v>
      </c>
      <c r="AH81" s="1061">
        <f t="shared" si="15"/>
        <v>449.00965904999998</v>
      </c>
      <c r="AI81" s="1172">
        <f t="shared" si="16"/>
        <v>598.67954539999994</v>
      </c>
      <c r="AJ81" s="1172">
        <f t="shared" si="16"/>
        <v>498.89962116666663</v>
      </c>
      <c r="AK81" s="1172">
        <f t="shared" si="16"/>
        <v>598.67954539999994</v>
      </c>
      <c r="AL81" s="1172">
        <f t="shared" si="16"/>
        <v>898.01931809999996</v>
      </c>
      <c r="AM81" s="1172">
        <f t="shared" si="16"/>
        <v>1895.8185604333332</v>
      </c>
      <c r="AN81" s="1061">
        <f t="shared" si="16"/>
        <v>748.34943174999989</v>
      </c>
      <c r="AO81" s="1172">
        <f t="shared" si="16"/>
        <v>997.79924233333327</v>
      </c>
      <c r="AP81" s="1172">
        <f t="shared" si="16"/>
        <v>673.51448857499986</v>
      </c>
      <c r="AQ81" s="1172">
        <f t="shared" si="16"/>
        <v>997.79924233333327</v>
      </c>
      <c r="AR81" s="1061">
        <f t="shared" si="16"/>
        <v>997.79924233333327</v>
      </c>
      <c r="AS81" s="1061">
        <f t="shared" si="16"/>
        <v>0</v>
      </c>
      <c r="AT81" s="1061">
        <f t="shared" si="16"/>
        <v>0</v>
      </c>
      <c r="AU81" s="1061">
        <f t="shared" si="16"/>
        <v>0</v>
      </c>
      <c r="AV81" s="1061"/>
      <c r="AW81" s="1181"/>
      <c r="AY81" s="1184"/>
      <c r="AZ81" s="1189">
        <v>162</v>
      </c>
      <c r="BA81" s="1172">
        <v>0</v>
      </c>
      <c r="BB81" s="1188"/>
      <c r="BC81" s="1187"/>
      <c r="BD81" s="1172">
        <v>0</v>
      </c>
      <c r="BE81" s="1172">
        <v>0</v>
      </c>
      <c r="BF81" s="1172">
        <v>0</v>
      </c>
      <c r="BG81" s="1172">
        <v>0</v>
      </c>
      <c r="BH81" s="1172">
        <v>0</v>
      </c>
      <c r="BI81" s="1172">
        <v>0</v>
      </c>
      <c r="BJ81" s="1185"/>
      <c r="BK81" s="1185"/>
      <c r="BL81" s="1185"/>
      <c r="BM81" s="1185"/>
      <c r="BN81" s="1186"/>
      <c r="BO81" s="1185" t="s">
        <v>2440</v>
      </c>
      <c r="BP81" s="1185"/>
      <c r="BQ81" s="1185"/>
      <c r="BR81" s="1185"/>
      <c r="BS81" s="1185"/>
      <c r="BT81" s="1185"/>
      <c r="BU81" s="1185"/>
      <c r="BW81" s="1181"/>
    </row>
    <row r="82" spans="21:75">
      <c r="U82" s="1184"/>
      <c r="W82" s="1060" t="s">
        <v>93</v>
      </c>
      <c r="X82" s="1292">
        <f>X$68*0.093</f>
        <v>300.65686769988002</v>
      </c>
      <c r="Y82" s="1172">
        <f t="shared" si="15"/>
        <v>898.01931809999996</v>
      </c>
      <c r="Z82" s="1172">
        <f t="shared" si="15"/>
        <v>498.89962116666663</v>
      </c>
      <c r="AA82" s="1172">
        <f t="shared" si="15"/>
        <v>498.89962116666663</v>
      </c>
      <c r="AB82" s="1172">
        <f t="shared" si="15"/>
        <v>498.89962116666663</v>
      </c>
      <c r="AC82" s="1172">
        <f t="shared" si="15"/>
        <v>498.89962116666663</v>
      </c>
      <c r="AD82" s="1172">
        <f t="shared" si="15"/>
        <v>673.51448857499986</v>
      </c>
      <c r="AE82" s="1172">
        <f t="shared" si="15"/>
        <v>1446.8089013833333</v>
      </c>
      <c r="AF82" s="1172">
        <f t="shared" si="15"/>
        <v>648.56950751666659</v>
      </c>
      <c r="AG82" s="1172">
        <f t="shared" si="15"/>
        <v>673.51448857499986</v>
      </c>
      <c r="AH82" s="1061">
        <f t="shared" si="15"/>
        <v>449.00965904999998</v>
      </c>
      <c r="AI82" s="1172">
        <f t="shared" si="16"/>
        <v>598.67954539999994</v>
      </c>
      <c r="AJ82" s="1172">
        <f t="shared" si="16"/>
        <v>498.89962116666663</v>
      </c>
      <c r="AK82" s="1172">
        <f t="shared" si="16"/>
        <v>598.67954539999994</v>
      </c>
      <c r="AL82" s="1172">
        <f t="shared" si="16"/>
        <v>898.01931809999996</v>
      </c>
      <c r="AM82" s="1172">
        <f t="shared" si="16"/>
        <v>1895.8185604333332</v>
      </c>
      <c r="AN82" s="1061">
        <f t="shared" si="16"/>
        <v>748.34943174999989</v>
      </c>
      <c r="AO82" s="1172">
        <f t="shared" si="16"/>
        <v>997.79924233333327</v>
      </c>
      <c r="AP82" s="1172">
        <f t="shared" si="16"/>
        <v>673.51448857499986</v>
      </c>
      <c r="AQ82" s="1172">
        <f t="shared" si="16"/>
        <v>997.79924233333327</v>
      </c>
      <c r="AR82" s="1061">
        <f t="shared" si="16"/>
        <v>997.79924233333327</v>
      </c>
      <c r="AS82" s="1061">
        <f t="shared" si="16"/>
        <v>0</v>
      </c>
      <c r="AT82" s="1061">
        <f t="shared" si="16"/>
        <v>0</v>
      </c>
      <c r="AU82" s="1061">
        <f t="shared" si="16"/>
        <v>0</v>
      </c>
      <c r="AV82" s="1061"/>
      <c r="AW82" s="1181"/>
      <c r="AY82" s="1184"/>
      <c r="AZ82" s="1189">
        <v>163</v>
      </c>
      <c r="BA82" s="1172">
        <v>0</v>
      </c>
      <c r="BB82" s="1188"/>
      <c r="BC82" s="1187"/>
      <c r="BD82" s="1172">
        <v>0</v>
      </c>
      <c r="BE82" s="1172">
        <v>0</v>
      </c>
      <c r="BF82" s="1172">
        <v>0</v>
      </c>
      <c r="BG82" s="1172">
        <v>0</v>
      </c>
      <c r="BH82" s="1172">
        <v>0</v>
      </c>
      <c r="BI82" s="1172">
        <v>0</v>
      </c>
      <c r="BJ82" s="1185"/>
      <c r="BK82" s="1185"/>
      <c r="BL82" s="1185"/>
      <c r="BM82" s="1185"/>
      <c r="BN82" s="1186"/>
      <c r="BO82" s="1185" t="s">
        <v>2439</v>
      </c>
      <c r="BP82" s="1185"/>
      <c r="BQ82" s="1185"/>
      <c r="BR82" s="1185"/>
      <c r="BS82" s="1185"/>
      <c r="BT82" s="1185"/>
      <c r="BU82" s="1185"/>
      <c r="BW82" s="1181"/>
    </row>
    <row r="83" spans="21:75">
      <c r="U83" s="1184"/>
      <c r="W83" s="1060" t="s">
        <v>94</v>
      </c>
      <c r="X83" s="1292">
        <f>X$68*0.058</f>
        <v>187.50643361928002</v>
      </c>
      <c r="Y83" s="1172">
        <f t="shared" si="15"/>
        <v>898.01931809999996</v>
      </c>
      <c r="Z83" s="1172">
        <f t="shared" si="15"/>
        <v>498.89962116666663</v>
      </c>
      <c r="AA83" s="1172">
        <f t="shared" si="15"/>
        <v>498.89962116666663</v>
      </c>
      <c r="AB83" s="1172">
        <f t="shared" si="15"/>
        <v>498.89962116666663</v>
      </c>
      <c r="AC83" s="1172">
        <f t="shared" si="15"/>
        <v>498.89962116666663</v>
      </c>
      <c r="AD83" s="1172">
        <f t="shared" si="15"/>
        <v>673.51448857499986</v>
      </c>
      <c r="AE83" s="1172">
        <f t="shared" si="15"/>
        <v>1446.8089013833333</v>
      </c>
      <c r="AF83" s="1172">
        <f t="shared" si="15"/>
        <v>648.56950751666659</v>
      </c>
      <c r="AG83" s="1172">
        <f t="shared" si="15"/>
        <v>673.51448857499986</v>
      </c>
      <c r="AH83" s="1061">
        <f t="shared" si="15"/>
        <v>449.00965904999998</v>
      </c>
      <c r="AI83" s="1172">
        <f t="shared" si="16"/>
        <v>598.67954539999994</v>
      </c>
      <c r="AJ83" s="1172">
        <f t="shared" si="16"/>
        <v>498.89962116666663</v>
      </c>
      <c r="AK83" s="1172">
        <f t="shared" si="16"/>
        <v>598.67954539999994</v>
      </c>
      <c r="AL83" s="1172">
        <f t="shared" si="16"/>
        <v>898.01931809999996</v>
      </c>
      <c r="AM83" s="1172">
        <f t="shared" si="16"/>
        <v>1895.8185604333332</v>
      </c>
      <c r="AN83" s="1061">
        <f t="shared" si="16"/>
        <v>748.34943174999989</v>
      </c>
      <c r="AO83" s="1172">
        <f t="shared" si="16"/>
        <v>997.79924233333327</v>
      </c>
      <c r="AP83" s="1172">
        <f t="shared" si="16"/>
        <v>673.51448857499986</v>
      </c>
      <c r="AQ83" s="1172">
        <f t="shared" si="16"/>
        <v>997.79924233333327</v>
      </c>
      <c r="AR83" s="1061">
        <f t="shared" si="16"/>
        <v>997.79924233333327</v>
      </c>
      <c r="AS83" s="1061">
        <f t="shared" si="16"/>
        <v>0</v>
      </c>
      <c r="AT83" s="1061">
        <f t="shared" si="16"/>
        <v>0</v>
      </c>
      <c r="AU83" s="1061">
        <f t="shared" si="16"/>
        <v>0</v>
      </c>
      <c r="AV83" s="1061"/>
      <c r="AW83" s="1181"/>
      <c r="AY83" s="1184"/>
      <c r="AZ83" s="1189">
        <v>164</v>
      </c>
      <c r="BA83" s="1172">
        <v>0</v>
      </c>
      <c r="BB83" s="1188"/>
      <c r="BC83" s="1187"/>
      <c r="BD83" s="1172">
        <v>0</v>
      </c>
      <c r="BE83" s="1172">
        <v>0</v>
      </c>
      <c r="BF83" s="1172">
        <v>0</v>
      </c>
      <c r="BG83" s="1172">
        <v>0</v>
      </c>
      <c r="BH83" s="1172">
        <v>0</v>
      </c>
      <c r="BI83" s="1172">
        <v>0</v>
      </c>
      <c r="BJ83" s="1185"/>
      <c r="BK83" s="1185"/>
      <c r="BL83" s="1185"/>
      <c r="BM83" s="1185"/>
      <c r="BN83" s="1186"/>
      <c r="BO83" s="1185" t="s">
        <v>2438</v>
      </c>
      <c r="BP83" s="1185"/>
      <c r="BQ83" s="1185"/>
      <c r="BR83" s="1185"/>
      <c r="BS83" s="1185"/>
      <c r="BT83" s="1185"/>
      <c r="BU83" s="1185"/>
      <c r="BW83" s="1181"/>
    </row>
    <row r="84" spans="21:75">
      <c r="U84" s="1184"/>
      <c r="W84" s="1060" t="s">
        <v>95</v>
      </c>
      <c r="X84" s="1292">
        <f>X$68*0.075</f>
        <v>242.465215887</v>
      </c>
      <c r="Y84" s="1172">
        <f t="shared" si="15"/>
        <v>898.01931809999996</v>
      </c>
      <c r="Z84" s="1172">
        <f t="shared" si="15"/>
        <v>498.89962116666663</v>
      </c>
      <c r="AA84" s="1172">
        <f t="shared" si="15"/>
        <v>498.89962116666663</v>
      </c>
      <c r="AB84" s="1172">
        <f t="shared" si="15"/>
        <v>498.89962116666663</v>
      </c>
      <c r="AC84" s="1172">
        <f t="shared" si="15"/>
        <v>498.89962116666663</v>
      </c>
      <c r="AD84" s="1172">
        <f t="shared" si="15"/>
        <v>673.51448857499986</v>
      </c>
      <c r="AE84" s="1172">
        <f t="shared" si="15"/>
        <v>1446.8089013833333</v>
      </c>
      <c r="AF84" s="1172">
        <f t="shared" si="15"/>
        <v>648.56950751666659</v>
      </c>
      <c r="AG84" s="1172">
        <f t="shared" si="15"/>
        <v>673.51448857499986</v>
      </c>
      <c r="AH84" s="1061">
        <f t="shared" si="15"/>
        <v>449.00965904999998</v>
      </c>
      <c r="AI84" s="1172">
        <f t="shared" si="16"/>
        <v>598.67954539999994</v>
      </c>
      <c r="AJ84" s="1172">
        <f t="shared" si="16"/>
        <v>498.89962116666663</v>
      </c>
      <c r="AK84" s="1172">
        <f t="shared" si="16"/>
        <v>598.67954539999994</v>
      </c>
      <c r="AL84" s="1172">
        <f t="shared" si="16"/>
        <v>898.01931809999996</v>
      </c>
      <c r="AM84" s="1172">
        <f t="shared" si="16"/>
        <v>1895.8185604333332</v>
      </c>
      <c r="AN84" s="1061">
        <f t="shared" si="16"/>
        <v>748.34943174999989</v>
      </c>
      <c r="AO84" s="1172">
        <f t="shared" si="16"/>
        <v>997.79924233333327</v>
      </c>
      <c r="AP84" s="1172">
        <f t="shared" si="16"/>
        <v>673.51448857499986</v>
      </c>
      <c r="AQ84" s="1172">
        <f t="shared" si="16"/>
        <v>997.79924233333327</v>
      </c>
      <c r="AR84" s="1061">
        <f t="shared" si="16"/>
        <v>997.79924233333327</v>
      </c>
      <c r="AS84" s="1061">
        <f t="shared" si="16"/>
        <v>0</v>
      </c>
      <c r="AT84" s="1061">
        <f t="shared" si="16"/>
        <v>0</v>
      </c>
      <c r="AU84" s="1061">
        <f t="shared" si="16"/>
        <v>0</v>
      </c>
      <c r="AV84" s="1061"/>
      <c r="AW84" s="1181"/>
      <c r="AY84" s="1184"/>
      <c r="AZ84" s="1189">
        <v>165</v>
      </c>
      <c r="BA84" s="1185">
        <v>14</v>
      </c>
      <c r="BB84" s="1188">
        <v>50</v>
      </c>
      <c r="BC84" s="1187">
        <v>6.1</v>
      </c>
      <c r="BD84" s="1172">
        <v>1000</v>
      </c>
      <c r="BE84" s="1172">
        <v>1500</v>
      </c>
      <c r="BF84" s="1172">
        <v>2000</v>
      </c>
      <c r="BG84" s="1172">
        <v>2500</v>
      </c>
      <c r="BH84" s="1172">
        <v>3250</v>
      </c>
      <c r="BI84" s="1172">
        <v>4000</v>
      </c>
      <c r="BJ84" s="1185" t="s">
        <v>1892</v>
      </c>
      <c r="BK84" s="1185"/>
      <c r="BL84" s="1185" t="s">
        <v>1333</v>
      </c>
      <c r="BM84" s="1185"/>
      <c r="BN84" s="1186">
        <v>0.35</v>
      </c>
      <c r="BO84" s="1185" t="s">
        <v>2437</v>
      </c>
      <c r="BP84" s="1185"/>
      <c r="BQ84" s="1185"/>
      <c r="BR84" s="1185"/>
      <c r="BS84" s="1185"/>
      <c r="BT84" s="1185"/>
      <c r="BU84" s="1185"/>
      <c r="BW84" s="1181"/>
    </row>
    <row r="85" spans="21:75">
      <c r="U85" s="1184"/>
      <c r="W85" s="1181" t="s">
        <v>96</v>
      </c>
      <c r="X85" s="1292">
        <f>X$68*0.038</f>
        <v>122.84904271608001</v>
      </c>
      <c r="Y85" s="1172">
        <f t="shared" si="15"/>
        <v>898.01931809999996</v>
      </c>
      <c r="Z85" s="1172">
        <f t="shared" si="15"/>
        <v>498.89962116666663</v>
      </c>
      <c r="AA85" s="1172">
        <f t="shared" si="15"/>
        <v>498.89962116666663</v>
      </c>
      <c r="AB85" s="1172">
        <f t="shared" si="15"/>
        <v>498.89962116666663</v>
      </c>
      <c r="AC85" s="1172">
        <f t="shared" si="15"/>
        <v>498.89962116666663</v>
      </c>
      <c r="AD85" s="1172">
        <f t="shared" si="15"/>
        <v>673.51448857499986</v>
      </c>
      <c r="AE85" s="1172">
        <f t="shared" si="15"/>
        <v>1446.8089013833333</v>
      </c>
      <c r="AF85" s="1172">
        <f t="shared" si="15"/>
        <v>648.56950751666659</v>
      </c>
      <c r="AG85" s="1172">
        <f t="shared" si="15"/>
        <v>673.51448857499986</v>
      </c>
      <c r="AH85" s="1061">
        <f t="shared" si="15"/>
        <v>449.00965904999998</v>
      </c>
      <c r="AI85" s="1172">
        <f t="shared" si="16"/>
        <v>598.67954539999994</v>
      </c>
      <c r="AJ85" s="1172">
        <f t="shared" si="16"/>
        <v>498.89962116666663</v>
      </c>
      <c r="AK85" s="1172">
        <f t="shared" si="16"/>
        <v>598.67954539999994</v>
      </c>
      <c r="AL85" s="1172">
        <f t="shared" si="16"/>
        <v>898.01931809999996</v>
      </c>
      <c r="AM85" s="1172">
        <f t="shared" si="16"/>
        <v>1895.8185604333332</v>
      </c>
      <c r="AN85" s="1061">
        <f t="shared" si="16"/>
        <v>748.34943174999989</v>
      </c>
      <c r="AO85" s="1172">
        <f t="shared" si="16"/>
        <v>997.79924233333327</v>
      </c>
      <c r="AP85" s="1172">
        <f t="shared" si="16"/>
        <v>673.51448857499986</v>
      </c>
      <c r="AQ85" s="1172">
        <f t="shared" si="16"/>
        <v>997.79924233333327</v>
      </c>
      <c r="AR85" s="1061">
        <f t="shared" si="16"/>
        <v>997.79924233333327</v>
      </c>
      <c r="AS85" s="1061">
        <f t="shared" si="16"/>
        <v>0</v>
      </c>
      <c r="AT85" s="1061">
        <f t="shared" si="16"/>
        <v>0</v>
      </c>
      <c r="AU85" s="1061">
        <f t="shared" si="16"/>
        <v>0</v>
      </c>
      <c r="AV85" s="1061"/>
      <c r="AW85" s="1181"/>
      <c r="AY85" s="1184"/>
      <c r="AZ85" s="1189">
        <v>166</v>
      </c>
      <c r="BA85" s="1185">
        <v>14</v>
      </c>
      <c r="BB85" s="1188">
        <v>50</v>
      </c>
      <c r="BC85" s="1187">
        <v>6.1</v>
      </c>
      <c r="BD85" s="1172">
        <v>1000</v>
      </c>
      <c r="BE85" s="1172">
        <v>1500</v>
      </c>
      <c r="BF85" s="1172">
        <v>2000</v>
      </c>
      <c r="BG85" s="1172">
        <v>2500</v>
      </c>
      <c r="BH85" s="1172">
        <v>3250</v>
      </c>
      <c r="BI85" s="1172">
        <v>4000</v>
      </c>
      <c r="BJ85" s="1185" t="s">
        <v>1892</v>
      </c>
      <c r="BK85" s="1185"/>
      <c r="BL85" s="1185" t="s">
        <v>1333</v>
      </c>
      <c r="BM85" s="1185"/>
      <c r="BN85" s="1186">
        <v>0.35</v>
      </c>
      <c r="BO85" s="1185" t="s">
        <v>2436</v>
      </c>
      <c r="BP85" s="1185"/>
      <c r="BQ85" s="1185"/>
      <c r="BR85" s="1185"/>
      <c r="BS85" s="1185"/>
      <c r="BT85" s="1185"/>
      <c r="BU85" s="1185"/>
      <c r="BW85" s="1181"/>
    </row>
    <row r="86" spans="21:75">
      <c r="U86" s="1184"/>
      <c r="W86" s="1156"/>
      <c r="X86" s="1172"/>
      <c r="Y86" s="1172"/>
      <c r="Z86" s="1172"/>
      <c r="AA86" s="1172"/>
      <c r="AB86" s="1172"/>
      <c r="AC86" s="1172"/>
      <c r="AD86" s="1172"/>
      <c r="AE86" s="1172"/>
      <c r="AF86" s="1172"/>
      <c r="AG86" s="1172"/>
      <c r="AH86" s="1061"/>
      <c r="AI86" s="1172"/>
      <c r="AJ86" s="1172"/>
      <c r="AK86" s="1172"/>
      <c r="AL86" s="1172"/>
      <c r="AM86" s="1172"/>
      <c r="AN86" s="1061"/>
      <c r="AO86" s="1172"/>
      <c r="AP86" s="1172"/>
      <c r="AQ86" s="1172"/>
      <c r="AR86" s="1061"/>
      <c r="AS86" s="1061"/>
      <c r="AT86" s="1061"/>
      <c r="AU86" s="1061"/>
      <c r="AV86" s="1061"/>
      <c r="AW86" s="1181"/>
      <c r="AY86" s="1184"/>
      <c r="AZ86" s="1189">
        <v>167</v>
      </c>
      <c r="BA86" s="1185">
        <v>14</v>
      </c>
      <c r="BB86" s="1188"/>
      <c r="BC86" s="1187"/>
      <c r="BD86" s="1172">
        <v>1000</v>
      </c>
      <c r="BE86" s="1172">
        <v>1500</v>
      </c>
      <c r="BF86" s="1172">
        <v>2000</v>
      </c>
      <c r="BG86" s="1172">
        <v>2500</v>
      </c>
      <c r="BH86" s="1172">
        <v>3250</v>
      </c>
      <c r="BI86" s="1172">
        <v>4000</v>
      </c>
      <c r="BJ86" s="1185"/>
      <c r="BK86" s="1185"/>
      <c r="BL86" s="1185"/>
      <c r="BM86" s="1185"/>
      <c r="BN86" s="1186">
        <v>0.7</v>
      </c>
      <c r="BO86" s="1185" t="s">
        <v>2435</v>
      </c>
      <c r="BP86" s="1185"/>
      <c r="BQ86" s="1185"/>
      <c r="BR86" s="1185"/>
      <c r="BS86" s="1185"/>
      <c r="BT86" s="1185"/>
      <c r="BU86" s="1185"/>
      <c r="BW86" s="1181"/>
    </row>
    <row r="87" spans="21:75">
      <c r="U87" s="1184"/>
      <c r="W87" s="1156"/>
      <c r="X87" s="1172"/>
      <c r="Y87" s="1172"/>
      <c r="Z87" s="1172"/>
      <c r="AA87" s="1172"/>
      <c r="AB87" s="1172"/>
      <c r="AC87" s="1172"/>
      <c r="AD87" s="1172"/>
      <c r="AE87" s="1172"/>
      <c r="AF87" s="1172"/>
      <c r="AG87" s="1172"/>
      <c r="AH87" s="1061"/>
      <c r="AI87" s="1172"/>
      <c r="AJ87" s="1172"/>
      <c r="AK87" s="1172"/>
      <c r="AL87" s="1172"/>
      <c r="AM87" s="1172"/>
      <c r="AN87" s="1061"/>
      <c r="AO87" s="1172"/>
      <c r="AP87" s="1172"/>
      <c r="AQ87" s="1172"/>
      <c r="AR87" s="1061"/>
      <c r="AS87" s="1061"/>
      <c r="AT87" s="1061"/>
      <c r="AU87" s="1061"/>
      <c r="AV87" s="1061"/>
      <c r="AW87" s="1181"/>
      <c r="AY87" s="1184"/>
      <c r="AZ87" s="1189">
        <v>169</v>
      </c>
      <c r="BA87" s="1185">
        <v>16</v>
      </c>
      <c r="BB87" s="1188">
        <v>11.6</v>
      </c>
      <c r="BC87" s="1187">
        <v>6.1</v>
      </c>
      <c r="BD87" s="1172">
        <v>500</v>
      </c>
      <c r="BE87" s="1172">
        <v>750</v>
      </c>
      <c r="BF87" s="1172">
        <v>1000</v>
      </c>
      <c r="BG87" s="1172">
        <v>7000</v>
      </c>
      <c r="BH87" s="1172">
        <v>1500</v>
      </c>
      <c r="BI87" s="1172">
        <v>2000</v>
      </c>
      <c r="BJ87" s="1185" t="s">
        <v>1892</v>
      </c>
      <c r="BK87" s="1185"/>
      <c r="BL87" s="1185" t="s">
        <v>1333</v>
      </c>
      <c r="BM87" s="1185"/>
      <c r="BN87" s="1186">
        <v>0.4</v>
      </c>
      <c r="BO87" s="1185" t="s">
        <v>2434</v>
      </c>
      <c r="BP87" s="1185"/>
      <c r="BQ87" s="1185"/>
      <c r="BR87" s="1185"/>
      <c r="BS87" s="1185"/>
      <c r="BT87" s="1185"/>
      <c r="BU87" s="1185"/>
      <c r="BW87" s="1181"/>
    </row>
    <row r="88" spans="21:75">
      <c r="U88" s="1184"/>
      <c r="W88" s="1152" t="s">
        <v>2433</v>
      </c>
      <c r="Y88" s="1172"/>
      <c r="Z88" s="1172"/>
      <c r="AA88" s="1172"/>
      <c r="AB88" s="1172"/>
      <c r="AC88" s="1172"/>
      <c r="AD88" s="1172"/>
      <c r="AE88" s="1172"/>
      <c r="AF88" s="1172"/>
      <c r="AG88" s="1172"/>
      <c r="AH88" s="1061"/>
      <c r="AI88" s="1172"/>
      <c r="AJ88" s="1172"/>
      <c r="AK88" s="1172"/>
      <c r="AL88" s="1172"/>
      <c r="AM88" s="1172"/>
      <c r="AN88" s="1061"/>
      <c r="AO88" s="1172"/>
      <c r="AP88" s="1172"/>
      <c r="AQ88" s="1172"/>
      <c r="AR88" s="1061"/>
      <c r="AS88" s="1061"/>
      <c r="AT88" s="1061"/>
      <c r="AU88" s="1061"/>
      <c r="AV88" s="1061"/>
      <c r="AW88" s="1181"/>
      <c r="AY88" s="1184"/>
      <c r="AZ88" s="1189">
        <v>170</v>
      </c>
      <c r="BA88" s="1185">
        <v>14</v>
      </c>
      <c r="BB88" s="1188">
        <v>50</v>
      </c>
      <c r="BC88" s="1187">
        <v>6.1</v>
      </c>
      <c r="BD88" s="1172">
        <v>1000</v>
      </c>
      <c r="BE88" s="1172">
        <v>1500</v>
      </c>
      <c r="BF88" s="1172">
        <v>2000</v>
      </c>
      <c r="BG88" s="1172">
        <v>2500</v>
      </c>
      <c r="BH88" s="1172">
        <v>3250</v>
      </c>
      <c r="BI88" s="1172">
        <v>4000</v>
      </c>
      <c r="BJ88" s="1185" t="s">
        <v>1892</v>
      </c>
      <c r="BK88" s="1185"/>
      <c r="BL88" s="1185" t="s">
        <v>1333</v>
      </c>
      <c r="BM88" s="1185"/>
      <c r="BN88" s="1186"/>
      <c r="BO88" s="1185" t="s">
        <v>2432</v>
      </c>
      <c r="BP88" s="1185"/>
      <c r="BQ88" s="1185"/>
      <c r="BR88" s="1185"/>
      <c r="BS88" s="1185"/>
      <c r="BT88" s="1185"/>
      <c r="BU88" s="1185"/>
      <c r="BW88" s="1181"/>
    </row>
    <row r="89" spans="21:75">
      <c r="U89" s="1184"/>
      <c r="W89" s="1174" t="s">
        <v>449</v>
      </c>
      <c r="X89" s="1174" t="s">
        <v>2431</v>
      </c>
      <c r="Y89" s="1172"/>
      <c r="Z89" s="1172"/>
      <c r="AA89" s="1172"/>
      <c r="AB89" s="1172"/>
      <c r="AC89" s="1172"/>
      <c r="AD89" s="1172"/>
      <c r="AE89" s="1172"/>
      <c r="AF89" s="1172"/>
      <c r="AG89" s="1172"/>
      <c r="AH89" s="1061"/>
      <c r="AI89" s="1172"/>
      <c r="AJ89" s="1172"/>
      <c r="AK89" s="1172"/>
      <c r="AL89" s="1172"/>
      <c r="AM89" s="1172"/>
      <c r="AN89" s="1061"/>
      <c r="AO89" s="1172"/>
      <c r="AP89" s="1172"/>
      <c r="AQ89" s="1172"/>
      <c r="AR89" s="1061"/>
      <c r="AS89" s="1061"/>
      <c r="AT89" s="1061"/>
      <c r="AU89" s="1061"/>
      <c r="AV89" s="1061"/>
      <c r="AW89" s="1181"/>
      <c r="AY89" s="1184"/>
      <c r="AZ89" s="1189">
        <v>172</v>
      </c>
      <c r="BA89" s="1185">
        <v>14</v>
      </c>
      <c r="BB89" s="1188">
        <v>35</v>
      </c>
      <c r="BC89" s="1187">
        <v>6.1</v>
      </c>
      <c r="BD89" s="1172">
        <v>1000</v>
      </c>
      <c r="BE89" s="1172">
        <v>1500</v>
      </c>
      <c r="BF89" s="1172">
        <v>2000</v>
      </c>
      <c r="BG89" s="1172">
        <v>2500</v>
      </c>
      <c r="BH89" s="1172">
        <v>3250</v>
      </c>
      <c r="BI89" s="1172">
        <v>4000</v>
      </c>
      <c r="BJ89" s="1185" t="s">
        <v>1892</v>
      </c>
      <c r="BK89" s="1185"/>
      <c r="BL89" s="1185" t="s">
        <v>1333</v>
      </c>
      <c r="BM89" s="1185"/>
      <c r="BN89" s="1186"/>
      <c r="BO89" s="1185" t="s">
        <v>2430</v>
      </c>
      <c r="BP89" s="1185"/>
      <c r="BQ89" s="1185"/>
      <c r="BR89" s="1185"/>
      <c r="BS89" s="1185"/>
      <c r="BT89" s="1185"/>
      <c r="BU89" s="1185"/>
      <c r="BW89" s="1181"/>
    </row>
    <row r="90" spans="21:75">
      <c r="U90" s="1184"/>
      <c r="W90" s="1203" t="s">
        <v>276</v>
      </c>
      <c r="X90" s="1291"/>
      <c r="Y90" s="1172"/>
      <c r="Z90" s="1172"/>
      <c r="AA90" s="1172"/>
      <c r="AB90" s="1172"/>
      <c r="AC90" s="1172"/>
      <c r="AD90" s="1172"/>
      <c r="AE90" s="1172"/>
      <c r="AF90" s="1172"/>
      <c r="AG90" s="1172"/>
      <c r="AH90" s="1061"/>
      <c r="AI90" s="1172"/>
      <c r="AJ90" s="1172"/>
      <c r="AK90" s="1172"/>
      <c r="AL90" s="1172"/>
      <c r="AM90" s="1172"/>
      <c r="AN90" s="1061"/>
      <c r="AO90" s="1172"/>
      <c r="AP90" s="1172"/>
      <c r="AQ90" s="1172"/>
      <c r="AR90" s="1061"/>
      <c r="AS90" s="1061"/>
      <c r="AT90" s="1061"/>
      <c r="AU90" s="1061"/>
      <c r="AV90" s="1061"/>
      <c r="AW90" s="1181"/>
      <c r="AY90" s="1184"/>
      <c r="AZ90" s="1189">
        <v>173</v>
      </c>
      <c r="BA90" s="1185">
        <v>14</v>
      </c>
      <c r="BB90" s="1188">
        <v>35</v>
      </c>
      <c r="BC90" s="1187">
        <v>6.1</v>
      </c>
      <c r="BD90" s="1172">
        <v>1000</v>
      </c>
      <c r="BE90" s="1172">
        <v>1500</v>
      </c>
      <c r="BF90" s="1172">
        <v>2000</v>
      </c>
      <c r="BG90" s="1172">
        <v>2500</v>
      </c>
      <c r="BH90" s="1172">
        <v>3250</v>
      </c>
      <c r="BI90" s="1172">
        <v>4000</v>
      </c>
      <c r="BJ90" s="1185" t="s">
        <v>1892</v>
      </c>
      <c r="BK90" s="1185"/>
      <c r="BL90" s="1185" t="s">
        <v>1333</v>
      </c>
      <c r="BM90" s="1185"/>
      <c r="BN90" s="1186"/>
      <c r="BO90" s="1185" t="s">
        <v>2429</v>
      </c>
      <c r="BP90" s="1185"/>
      <c r="BQ90" s="1185"/>
      <c r="BR90" s="1185"/>
      <c r="BS90" s="1185"/>
      <c r="BT90" s="1185"/>
      <c r="BU90" s="1185"/>
      <c r="BW90" s="1181"/>
    </row>
    <row r="91" spans="21:75">
      <c r="U91" s="1184"/>
      <c r="W91" s="1060" t="s">
        <v>277</v>
      </c>
      <c r="X91" s="1290"/>
      <c r="Y91" s="1172"/>
      <c r="Z91" s="1172"/>
      <c r="AA91" s="1172"/>
      <c r="AB91" s="1172"/>
      <c r="AC91" s="1172"/>
      <c r="AD91" s="1172"/>
      <c r="AE91" s="1172"/>
      <c r="AF91" s="1172"/>
      <c r="AG91" s="1172"/>
      <c r="AH91" s="1061"/>
      <c r="AI91" s="1172"/>
      <c r="AJ91" s="1172"/>
      <c r="AK91" s="1172"/>
      <c r="AL91" s="1172"/>
      <c r="AM91" s="1172"/>
      <c r="AN91" s="1061"/>
      <c r="AO91" s="1172"/>
      <c r="AP91" s="1172"/>
      <c r="AQ91" s="1172"/>
      <c r="AR91" s="1061"/>
      <c r="AS91" s="1061"/>
      <c r="AT91" s="1061"/>
      <c r="AU91" s="1061"/>
      <c r="AV91" s="1061"/>
      <c r="AW91" s="1181"/>
      <c r="AY91" s="1184"/>
      <c r="AZ91" s="1189">
        <v>175</v>
      </c>
      <c r="BA91" s="1172">
        <v>0</v>
      </c>
      <c r="BB91" s="1188">
        <v>35</v>
      </c>
      <c r="BC91" s="1187">
        <v>6.1</v>
      </c>
      <c r="BD91" s="1172">
        <v>0</v>
      </c>
      <c r="BE91" s="1172">
        <v>0</v>
      </c>
      <c r="BF91" s="1172">
        <v>0</v>
      </c>
      <c r="BG91" s="1172">
        <v>0</v>
      </c>
      <c r="BH91" s="1172">
        <v>0</v>
      </c>
      <c r="BI91" s="1172">
        <v>0</v>
      </c>
      <c r="BJ91" s="1185" t="s">
        <v>1892</v>
      </c>
      <c r="BK91" s="1185"/>
      <c r="BL91" s="1185" t="s">
        <v>1333</v>
      </c>
      <c r="BM91" s="1185"/>
      <c r="BN91" s="1186"/>
      <c r="BO91" s="1185" t="s">
        <v>2428</v>
      </c>
      <c r="BP91" s="1185"/>
      <c r="BQ91" s="1185"/>
      <c r="BR91" s="1185"/>
      <c r="BS91" s="1185"/>
      <c r="BT91" s="1185"/>
      <c r="BU91" s="1185"/>
      <c r="BW91" s="1181"/>
    </row>
    <row r="92" spans="21:75">
      <c r="U92" s="1184"/>
      <c r="W92" s="1060" t="s">
        <v>88</v>
      </c>
      <c r="X92" s="1290"/>
      <c r="Y92" s="1172"/>
      <c r="Z92" s="1172"/>
      <c r="AA92" s="1172"/>
      <c r="AB92" s="1172"/>
      <c r="AC92" s="1172"/>
      <c r="AD92" s="1172"/>
      <c r="AE92" s="1172"/>
      <c r="AF92" s="1172"/>
      <c r="AG92" s="1172"/>
      <c r="AH92" s="1061"/>
      <c r="AI92" s="1172"/>
      <c r="AJ92" s="1172"/>
      <c r="AK92" s="1172"/>
      <c r="AL92" s="1172"/>
      <c r="AM92" s="1172"/>
      <c r="AN92" s="1061"/>
      <c r="AO92" s="1172"/>
      <c r="AP92" s="1172"/>
      <c r="AQ92" s="1172"/>
      <c r="AR92" s="1061"/>
      <c r="AS92" s="1061"/>
      <c r="AT92" s="1061"/>
      <c r="AU92" s="1061"/>
      <c r="AV92" s="1061"/>
      <c r="AW92" s="1181"/>
      <c r="AY92" s="1184"/>
      <c r="AZ92" s="1189">
        <v>176</v>
      </c>
      <c r="BA92" s="1172">
        <v>0</v>
      </c>
      <c r="BB92" s="1188">
        <v>35</v>
      </c>
      <c r="BC92" s="1187">
        <v>6.1</v>
      </c>
      <c r="BD92" s="1172">
        <v>0</v>
      </c>
      <c r="BE92" s="1172">
        <v>0</v>
      </c>
      <c r="BF92" s="1172">
        <v>0</v>
      </c>
      <c r="BG92" s="1172">
        <v>0</v>
      </c>
      <c r="BH92" s="1172">
        <v>0</v>
      </c>
      <c r="BI92" s="1172">
        <v>0</v>
      </c>
      <c r="BJ92" s="1185" t="s">
        <v>1892</v>
      </c>
      <c r="BK92" s="1185"/>
      <c r="BL92" s="1185" t="s">
        <v>1333</v>
      </c>
      <c r="BM92" s="1185"/>
      <c r="BN92" s="1186"/>
      <c r="BO92" s="1185" t="s">
        <v>2427</v>
      </c>
      <c r="BP92" s="1185"/>
      <c r="BQ92" s="1185"/>
      <c r="BR92" s="1185"/>
      <c r="BS92" s="1185"/>
      <c r="BT92" s="1185"/>
      <c r="BU92" s="1185"/>
      <c r="BW92" s="1181"/>
    </row>
    <row r="93" spans="21:75">
      <c r="U93" s="1184"/>
      <c r="W93" s="1060" t="s">
        <v>89</v>
      </c>
      <c r="X93" s="1290"/>
      <c r="Y93" s="1172"/>
      <c r="Z93" s="1172"/>
      <c r="AA93" s="1172"/>
      <c r="AB93" s="1172"/>
      <c r="AC93" s="1172"/>
      <c r="AD93" s="1172"/>
      <c r="AE93" s="1172"/>
      <c r="AF93" s="1172"/>
      <c r="AG93" s="1172"/>
      <c r="AH93" s="1061"/>
      <c r="AI93" s="1172"/>
      <c r="AJ93" s="1172"/>
      <c r="AK93" s="1742">
        <f>$D10</f>
        <v>5.47057737608373</v>
      </c>
      <c r="AL93" s="1172"/>
      <c r="AM93" s="1742">
        <f>IF($C12&lt;=AL$48,0,IF($C12&lt;=AL$49,($C12-AL$48)*(1/(AL$49-AL$48)), IF($C12&lt;=AL$50, 1, IF($C12&lt;=AL$51, 1-(($C12-AL$50)/(AL$51-AL$50)), 0))))</f>
        <v>0.64340530931105444</v>
      </c>
      <c r="AN93" s="1061"/>
      <c r="AO93" s="1172"/>
      <c r="AP93" s="1172"/>
      <c r="AQ93" s="1172"/>
      <c r="AR93" s="1061"/>
      <c r="AS93" s="1061"/>
      <c r="AT93" s="1061"/>
      <c r="AU93" s="1061"/>
      <c r="AV93" s="1061"/>
      <c r="AW93" s="1181"/>
      <c r="AY93" s="1184"/>
      <c r="AZ93" s="1189">
        <v>177</v>
      </c>
      <c r="BA93" s="1172">
        <v>0</v>
      </c>
      <c r="BB93" s="1188">
        <v>0</v>
      </c>
      <c r="BC93" s="1187">
        <v>7</v>
      </c>
      <c r="BD93" s="1172">
        <v>0</v>
      </c>
      <c r="BE93" s="1172">
        <v>0</v>
      </c>
      <c r="BF93" s="1172">
        <v>0</v>
      </c>
      <c r="BG93" s="1172">
        <v>0</v>
      </c>
      <c r="BH93" s="1172">
        <v>0</v>
      </c>
      <c r="BI93" s="1172">
        <v>0</v>
      </c>
      <c r="BJ93" s="1185"/>
      <c r="BK93" s="1185"/>
      <c r="BL93" s="1185"/>
      <c r="BM93" s="1185"/>
      <c r="BN93" s="1186"/>
      <c r="BO93" s="1185" t="s">
        <v>2426</v>
      </c>
      <c r="BP93" s="1185"/>
      <c r="BQ93" s="1185"/>
      <c r="BR93" s="1185"/>
      <c r="BS93" s="1185"/>
      <c r="BT93" s="1185"/>
      <c r="BU93" s="1185"/>
      <c r="BW93" s="1181"/>
    </row>
    <row r="94" spans="21:75">
      <c r="U94" s="1184"/>
      <c r="W94" s="1060" t="s">
        <v>39</v>
      </c>
      <c r="X94" s="1290"/>
      <c r="Y94" s="1172"/>
      <c r="Z94" s="1172"/>
      <c r="AA94" s="1172"/>
      <c r="AB94" s="1172"/>
      <c r="AC94" s="1172"/>
      <c r="AD94" s="1172"/>
      <c r="AE94" s="1172"/>
      <c r="AF94" s="1172"/>
      <c r="AG94" s="1172"/>
      <c r="AH94" s="1061"/>
      <c r="AI94" s="1172"/>
      <c r="AJ94" s="1172"/>
      <c r="AK94" s="1742">
        <f t="shared" ref="AK94:AK104" si="17">$D11</f>
        <v>4.6383786755274503</v>
      </c>
      <c r="AL94" s="1172"/>
      <c r="AM94" s="1742">
        <f>IF($D12&lt;=AL$52,0,IF($D12&lt;=AL$53,($D12-AL$52)*(1/(AL$53-AL$52)),IF($D12&lt;=AL$54,1,IF($D12&lt;=AL$55,1-(($D12-AL$54)/(AL$55-AL$54)),0))))</f>
        <v>0.69705037990145613</v>
      </c>
      <c r="AN94" s="1061"/>
      <c r="AO94" s="1172"/>
      <c r="AP94" s="1172"/>
      <c r="AQ94" s="1172"/>
      <c r="AR94" s="1061"/>
      <c r="AS94" s="1061"/>
      <c r="AT94" s="1061"/>
      <c r="AU94" s="1061"/>
      <c r="AV94" s="1061"/>
      <c r="AW94" s="1181"/>
      <c r="AY94" s="1184"/>
      <c r="AZ94" s="1189">
        <v>178</v>
      </c>
      <c r="BA94" s="1172">
        <v>0</v>
      </c>
      <c r="BB94" s="1188">
        <v>35</v>
      </c>
      <c r="BC94" s="1187">
        <v>6.1</v>
      </c>
      <c r="BD94" s="1172">
        <v>0</v>
      </c>
      <c r="BE94" s="1172">
        <v>0</v>
      </c>
      <c r="BF94" s="1172">
        <v>0</v>
      </c>
      <c r="BG94" s="1172">
        <v>0</v>
      </c>
      <c r="BH94" s="1172">
        <v>0</v>
      </c>
      <c r="BI94" s="1172">
        <v>0</v>
      </c>
      <c r="BJ94" s="1185" t="s">
        <v>1892</v>
      </c>
      <c r="BK94" s="1185"/>
      <c r="BL94" s="1185" t="s">
        <v>1333</v>
      </c>
      <c r="BM94" s="1185"/>
      <c r="BN94" s="1186"/>
      <c r="BO94" s="1185" t="s">
        <v>2425</v>
      </c>
      <c r="BP94" s="1185"/>
      <c r="BQ94" s="1185"/>
      <c r="BR94" s="1185"/>
      <c r="BS94" s="1185"/>
      <c r="BT94" s="1185"/>
      <c r="BU94" s="1185"/>
      <c r="BW94" s="1181"/>
    </row>
    <row r="95" spans="21:75">
      <c r="U95" s="1184"/>
      <c r="W95" s="1060" t="s">
        <v>90</v>
      </c>
      <c r="X95" s="1290"/>
      <c r="Y95" s="1172"/>
      <c r="Z95" s="1172"/>
      <c r="AA95" s="1172"/>
      <c r="AB95" s="1172"/>
      <c r="AC95" s="1172"/>
      <c r="AD95" s="1172"/>
      <c r="AE95" s="1172"/>
      <c r="AF95" s="1172"/>
      <c r="AG95" s="1172"/>
      <c r="AH95" s="1061"/>
      <c r="AI95" s="1172"/>
      <c r="AJ95" s="1172"/>
      <c r="AK95" s="1742">
        <f t="shared" si="17"/>
        <v>6.1689062769657301</v>
      </c>
      <c r="AL95" s="1172"/>
      <c r="AM95" s="1172">
        <f>AL76</f>
        <v>898.01931809999996</v>
      </c>
      <c r="AN95" s="1061"/>
      <c r="AO95" s="1172"/>
      <c r="AP95" s="1172"/>
      <c r="AQ95" s="1172"/>
      <c r="AR95" s="1061"/>
      <c r="AS95" s="1061"/>
      <c r="AT95" s="1061"/>
      <c r="AU95" s="1061"/>
      <c r="AV95" s="1061"/>
      <c r="AW95" s="1181"/>
      <c r="AY95" s="1184"/>
      <c r="AZ95" s="1189">
        <v>179</v>
      </c>
      <c r="BA95" s="1172">
        <v>13</v>
      </c>
      <c r="BB95" s="1188">
        <v>11.6</v>
      </c>
      <c r="BC95" s="1187">
        <v>6.1</v>
      </c>
      <c r="BD95" s="1172">
        <v>4000</v>
      </c>
      <c r="BE95" s="1172">
        <v>6000</v>
      </c>
      <c r="BF95" s="1172">
        <v>8000</v>
      </c>
      <c r="BG95" s="1172">
        <v>9000</v>
      </c>
      <c r="BH95" s="1172">
        <v>12000</v>
      </c>
      <c r="BI95" s="1172">
        <v>15000</v>
      </c>
      <c r="BJ95" s="1185" t="s">
        <v>1892</v>
      </c>
      <c r="BK95" s="1185"/>
      <c r="BL95" s="1185" t="s">
        <v>1333</v>
      </c>
      <c r="BM95" s="1185"/>
      <c r="BN95" s="1186">
        <v>0.3</v>
      </c>
      <c r="BO95" s="1185" t="s">
        <v>2424</v>
      </c>
      <c r="BP95" s="1185"/>
      <c r="BQ95" s="1185"/>
      <c r="BR95" s="1185"/>
      <c r="BS95" s="1185"/>
      <c r="BT95" s="1185"/>
      <c r="BU95" s="1172"/>
      <c r="BW95" s="1181"/>
    </row>
    <row r="96" spans="21:75">
      <c r="U96" s="1184"/>
      <c r="W96" s="1060" t="s">
        <v>91</v>
      </c>
      <c r="X96" s="1290"/>
      <c r="Y96" s="1172"/>
      <c r="Z96" s="1172"/>
      <c r="AA96" s="1172"/>
      <c r="AB96" s="1172"/>
      <c r="AC96" s="1172"/>
      <c r="AD96" s="1172"/>
      <c r="AE96" s="1172"/>
      <c r="AF96" s="1172"/>
      <c r="AG96" s="1172"/>
      <c r="AH96" s="1061"/>
      <c r="AI96" s="1172"/>
      <c r="AJ96" s="1172"/>
      <c r="AK96" s="1742">
        <f t="shared" si="17"/>
        <v>5.1910268356171096</v>
      </c>
      <c r="AL96" s="1172"/>
      <c r="AM96" s="1172"/>
      <c r="AN96" s="1061"/>
      <c r="AO96" s="1172"/>
      <c r="AP96" s="1172"/>
      <c r="AQ96" s="1172"/>
      <c r="AR96" s="1061"/>
      <c r="AS96" s="1061"/>
      <c r="AT96" s="1061"/>
      <c r="AU96" s="1061"/>
      <c r="AV96" s="1061"/>
      <c r="AW96" s="1181"/>
      <c r="AY96" s="1184"/>
      <c r="AZ96" s="1189">
        <v>180</v>
      </c>
      <c r="BA96" s="1185">
        <v>14</v>
      </c>
      <c r="BB96" s="1188">
        <v>0</v>
      </c>
      <c r="BC96" s="1187">
        <v>7</v>
      </c>
      <c r="BD96" s="1172">
        <v>1000</v>
      </c>
      <c r="BE96" s="1172">
        <v>1500</v>
      </c>
      <c r="BF96" s="1172">
        <v>2000</v>
      </c>
      <c r="BG96" s="1172">
        <v>2500</v>
      </c>
      <c r="BH96" s="1172">
        <v>3250</v>
      </c>
      <c r="BI96" s="1172">
        <v>4000</v>
      </c>
      <c r="BJ96" s="1185"/>
      <c r="BK96" s="1185"/>
      <c r="BL96" s="1185"/>
      <c r="BM96" s="1185"/>
      <c r="BN96" s="1186">
        <v>0.6</v>
      </c>
      <c r="BO96" s="1185" t="s">
        <v>2423</v>
      </c>
      <c r="BP96" s="1185"/>
      <c r="BQ96" s="1185"/>
      <c r="BR96" s="1185"/>
      <c r="BS96" s="1185"/>
      <c r="BT96" s="1185"/>
      <c r="BU96" s="1185"/>
      <c r="BW96" s="1181"/>
    </row>
    <row r="97" spans="21:75">
      <c r="U97" s="1184"/>
      <c r="W97" s="1060" t="s">
        <v>92</v>
      </c>
      <c r="X97" s="1290"/>
      <c r="Y97" s="1172"/>
      <c r="Z97" s="1172"/>
      <c r="AA97" s="1172"/>
      <c r="AB97" s="1172"/>
      <c r="AC97" s="1172"/>
      <c r="AD97" s="1172"/>
      <c r="AE97" s="1172"/>
      <c r="AF97" s="1172"/>
      <c r="AG97" s="1172"/>
      <c r="AH97" s="1061"/>
      <c r="AI97" s="1172"/>
      <c r="AJ97" s="1172"/>
      <c r="AK97" s="1742">
        <f t="shared" si="17"/>
        <v>3.2812551005749402</v>
      </c>
      <c r="AL97" s="1172"/>
      <c r="AM97" s="1172">
        <f>AM93*AM94*AM95</f>
        <v>402.74901582248424</v>
      </c>
      <c r="AN97" s="1061"/>
      <c r="AO97" s="1172"/>
      <c r="AP97" s="1172"/>
      <c r="AQ97" s="1172"/>
      <c r="AR97" s="1061"/>
      <c r="AS97" s="1061"/>
      <c r="AT97" s="1061"/>
      <c r="AU97" s="1061"/>
      <c r="AV97" s="1061"/>
      <c r="AW97" s="1181"/>
      <c r="AY97" s="1184"/>
      <c r="AZ97" s="1189">
        <v>201</v>
      </c>
      <c r="BA97" s="1185">
        <v>7</v>
      </c>
      <c r="BB97" s="1188">
        <v>12.05</v>
      </c>
      <c r="BC97" s="1187">
        <v>6</v>
      </c>
      <c r="BD97" s="1172">
        <v>8000</v>
      </c>
      <c r="BE97" s="1172">
        <v>10000</v>
      </c>
      <c r="BF97" s="1172">
        <v>12000</v>
      </c>
      <c r="BG97" s="1172">
        <v>20000</v>
      </c>
      <c r="BH97" s="1172">
        <v>25000</v>
      </c>
      <c r="BI97" s="1172">
        <v>30000</v>
      </c>
      <c r="BJ97" s="1185" t="s">
        <v>1348</v>
      </c>
      <c r="BK97" s="1185"/>
      <c r="BL97" s="1185" t="s">
        <v>1390</v>
      </c>
      <c r="BM97" s="1185"/>
      <c r="BN97" s="1186"/>
      <c r="BO97" s="1185" t="s">
        <v>2422</v>
      </c>
      <c r="BP97" s="1185"/>
      <c r="BQ97" s="1185"/>
      <c r="BR97" s="1185"/>
      <c r="BS97" s="1185"/>
      <c r="BT97" s="1185"/>
      <c r="BU97" s="1185"/>
      <c r="BW97" s="1181"/>
    </row>
    <row r="98" spans="21:75">
      <c r="U98" s="1184"/>
      <c r="W98" s="1060" t="s">
        <v>93</v>
      </c>
      <c r="X98" s="1290"/>
      <c r="Y98" s="1172"/>
      <c r="Z98" s="1172"/>
      <c r="AA98" s="1172"/>
      <c r="AB98" s="1172"/>
      <c r="AC98" s="1172"/>
      <c r="AD98" s="1172"/>
      <c r="AE98" s="1172"/>
      <c r="AF98" s="1172"/>
      <c r="AG98" s="1172"/>
      <c r="AH98" s="1061"/>
      <c r="AI98" s="1172"/>
      <c r="AJ98" s="1172"/>
      <c r="AK98" s="1742">
        <f t="shared" si="17"/>
        <v>2.66574762532625</v>
      </c>
      <c r="AL98" s="1172"/>
      <c r="AM98" s="1172"/>
      <c r="AN98" s="1061"/>
      <c r="AO98" s="1172"/>
      <c r="AP98" s="1172"/>
      <c r="AQ98" s="1172"/>
      <c r="AR98" s="1061"/>
      <c r="AS98" s="1061"/>
      <c r="AT98" s="1061"/>
      <c r="AU98" s="1061"/>
      <c r="AV98" s="1061"/>
      <c r="AW98" s="1181"/>
      <c r="AY98" s="1184"/>
      <c r="AZ98" s="1189">
        <v>202</v>
      </c>
      <c r="BA98" s="1185">
        <v>7</v>
      </c>
      <c r="BB98" s="1188">
        <v>12.05</v>
      </c>
      <c r="BC98" s="1187">
        <v>6</v>
      </c>
      <c r="BD98" s="1172">
        <v>8000</v>
      </c>
      <c r="BE98" s="1172">
        <v>10000</v>
      </c>
      <c r="BF98" s="1172">
        <v>12000</v>
      </c>
      <c r="BG98" s="1172">
        <v>20000</v>
      </c>
      <c r="BH98" s="1172">
        <v>25000</v>
      </c>
      <c r="BI98" s="1172">
        <v>30000</v>
      </c>
      <c r="BJ98" s="1185" t="s">
        <v>1348</v>
      </c>
      <c r="BK98" s="1185"/>
      <c r="BL98" s="1185" t="s">
        <v>1390</v>
      </c>
      <c r="BM98" s="1185"/>
      <c r="BN98" s="1186"/>
      <c r="BO98" s="1185" t="s">
        <v>2421</v>
      </c>
      <c r="BP98" s="1185"/>
      <c r="BQ98" s="1185"/>
      <c r="BR98" s="1185"/>
      <c r="BS98" s="1185"/>
      <c r="BT98" s="1185"/>
      <c r="BU98" s="1185"/>
      <c r="BW98" s="1181"/>
    </row>
    <row r="99" spans="21:75">
      <c r="U99" s="1184"/>
      <c r="W99" s="1060" t="s">
        <v>94</v>
      </c>
      <c r="X99" s="1290"/>
      <c r="Y99" s="1172"/>
      <c r="Z99" s="1172"/>
      <c r="AA99" s="1172"/>
      <c r="AB99" s="1172"/>
      <c r="AC99" s="1172"/>
      <c r="AD99" s="1172"/>
      <c r="AE99" s="1172"/>
      <c r="AF99" s="1172"/>
      <c r="AG99" s="1172"/>
      <c r="AH99" s="1061"/>
      <c r="AI99" s="1172"/>
      <c r="AJ99" s="1172"/>
      <c r="AK99" s="1742">
        <f t="shared" si="17"/>
        <v>2.9727651086087001</v>
      </c>
      <c r="AL99" s="1172"/>
      <c r="AM99" s="1172"/>
      <c r="AN99" s="1061"/>
      <c r="AO99" s="1172"/>
      <c r="AP99" s="1172"/>
      <c r="AQ99" s="1172"/>
      <c r="AR99" s="1061"/>
      <c r="AS99" s="1061"/>
      <c r="AT99" s="1061"/>
      <c r="AU99" s="1061"/>
      <c r="AV99" s="1061"/>
      <c r="AW99" s="1181"/>
      <c r="AY99" s="1184"/>
      <c r="AZ99" s="1189">
        <v>204</v>
      </c>
      <c r="BA99" s="1185">
        <v>7</v>
      </c>
      <c r="BB99" s="1188">
        <v>12.05</v>
      </c>
      <c r="BC99" s="1187">
        <v>6</v>
      </c>
      <c r="BD99" s="1172">
        <v>8000</v>
      </c>
      <c r="BE99" s="1172">
        <v>10000</v>
      </c>
      <c r="BF99" s="1172">
        <v>12000</v>
      </c>
      <c r="BG99" s="1172">
        <v>20000</v>
      </c>
      <c r="BH99" s="1172">
        <v>25000</v>
      </c>
      <c r="BI99" s="1172">
        <v>30000</v>
      </c>
      <c r="BJ99" s="1185" t="s">
        <v>1348</v>
      </c>
      <c r="BK99" s="1185"/>
      <c r="BL99" s="1185" t="s">
        <v>1390</v>
      </c>
      <c r="BM99" s="1185"/>
      <c r="BN99" s="1186"/>
      <c r="BO99" s="1185" t="s">
        <v>2420</v>
      </c>
      <c r="BP99" s="1185"/>
      <c r="BQ99" s="1172"/>
      <c r="BR99" s="1172"/>
      <c r="BS99" s="1185"/>
      <c r="BT99" s="1185"/>
      <c r="BU99" s="1185"/>
      <c r="BW99" s="1181"/>
    </row>
    <row r="100" spans="21:75">
      <c r="U100" s="1184"/>
      <c r="W100" s="1060" t="s">
        <v>95</v>
      </c>
      <c r="X100" s="1290"/>
      <c r="Y100" s="1172"/>
      <c r="Z100" s="1172"/>
      <c r="AA100" s="1172"/>
      <c r="AB100" s="1172"/>
      <c r="AC100" s="1172"/>
      <c r="AD100" s="1172"/>
      <c r="AE100" s="1172"/>
      <c r="AF100" s="1172"/>
      <c r="AG100" s="1172"/>
      <c r="AH100" s="1061"/>
      <c r="AI100" s="1172"/>
      <c r="AJ100" s="1172"/>
      <c r="AK100" s="1742">
        <f t="shared" si="17"/>
        <v>2.8152443516572201</v>
      </c>
      <c r="AL100" s="1172"/>
      <c r="AM100" s="1172"/>
      <c r="AN100" s="1061"/>
      <c r="AO100" s="1172"/>
      <c r="AP100" s="1172"/>
      <c r="AQ100" s="1172"/>
      <c r="AR100" s="1061"/>
      <c r="AS100" s="1061"/>
      <c r="AT100" s="1061"/>
      <c r="AU100" s="1061"/>
      <c r="AV100" s="1061"/>
      <c r="AW100" s="1181"/>
      <c r="AY100" s="1184"/>
      <c r="AZ100" s="1189">
        <v>205</v>
      </c>
      <c r="BA100" s="1185">
        <v>16</v>
      </c>
      <c r="BB100" s="1188">
        <v>15.27</v>
      </c>
      <c r="BC100" s="1187">
        <v>6</v>
      </c>
      <c r="BD100" s="1172">
        <v>500</v>
      </c>
      <c r="BE100" s="1172">
        <v>750</v>
      </c>
      <c r="BF100" s="1172">
        <v>1000</v>
      </c>
      <c r="BG100" s="1172">
        <v>7000</v>
      </c>
      <c r="BH100" s="1172">
        <v>1500</v>
      </c>
      <c r="BI100" s="1172">
        <v>2000</v>
      </c>
      <c r="BJ100" s="1185" t="s">
        <v>1382</v>
      </c>
      <c r="BK100" s="1185"/>
      <c r="BL100" s="1185"/>
      <c r="BM100" s="1185"/>
      <c r="BN100" s="1186"/>
      <c r="BO100" s="1185" t="s">
        <v>2419</v>
      </c>
      <c r="BP100" s="1185"/>
      <c r="BQ100" s="1185"/>
      <c r="BR100" s="1185"/>
      <c r="BS100" s="1185"/>
      <c r="BT100" s="1185"/>
      <c r="BU100" s="1185"/>
      <c r="BW100" s="1181"/>
    </row>
    <row r="101" spans="21:75">
      <c r="U101" s="1184"/>
      <c r="W101" s="1174" t="s">
        <v>96</v>
      </c>
      <c r="X101" s="1289"/>
      <c r="Y101" s="1172"/>
      <c r="Z101" s="1172"/>
      <c r="AA101" s="1172"/>
      <c r="AB101" s="1172"/>
      <c r="AC101" s="1172"/>
      <c r="AD101" s="1172"/>
      <c r="AE101" s="1172"/>
      <c r="AF101" s="1172"/>
      <c r="AG101" s="1172"/>
      <c r="AH101" s="1061"/>
      <c r="AI101" s="1172"/>
      <c r="AJ101" s="1172"/>
      <c r="AK101" s="1742">
        <f t="shared" si="17"/>
        <v>1.84959285920765</v>
      </c>
      <c r="AL101" s="1172"/>
      <c r="AM101" s="1172"/>
      <c r="AN101" s="1061"/>
      <c r="AO101" s="1172"/>
      <c r="AP101" s="1172"/>
      <c r="AQ101" s="1172"/>
      <c r="AR101" s="1061"/>
      <c r="AS101" s="1061"/>
      <c r="AT101" s="1061"/>
      <c r="AU101" s="1061"/>
      <c r="AV101" s="1061"/>
      <c r="AW101" s="1181"/>
      <c r="AY101" s="1184"/>
      <c r="AZ101" s="1189">
        <v>206</v>
      </c>
      <c r="BA101" s="1185">
        <v>16</v>
      </c>
      <c r="BB101" s="1188">
        <v>15.27</v>
      </c>
      <c r="BC101" s="1187">
        <v>6</v>
      </c>
      <c r="BD101" s="1172">
        <v>500</v>
      </c>
      <c r="BE101" s="1172">
        <v>750</v>
      </c>
      <c r="BF101" s="1172">
        <v>1000</v>
      </c>
      <c r="BG101" s="1172">
        <v>7000</v>
      </c>
      <c r="BH101" s="1172">
        <v>1500</v>
      </c>
      <c r="BI101" s="1172">
        <v>2000</v>
      </c>
      <c r="BJ101" s="1185" t="s">
        <v>1382</v>
      </c>
      <c r="BK101" s="1185"/>
      <c r="BL101" s="1185"/>
      <c r="BM101" s="1185"/>
      <c r="BN101" s="1186"/>
      <c r="BO101" s="1185" t="s">
        <v>2418</v>
      </c>
      <c r="BP101" s="1185"/>
      <c r="BQ101" s="1185"/>
      <c r="BR101" s="1185"/>
      <c r="BS101" s="1185"/>
      <c r="BT101" s="1185"/>
      <c r="BU101" s="1185"/>
      <c r="BW101" s="1181"/>
    </row>
    <row r="102" spans="21:75">
      <c r="U102" s="1184"/>
      <c r="W102" s="1203" t="s">
        <v>676</v>
      </c>
      <c r="X102" s="1288"/>
      <c r="Y102" s="1172"/>
      <c r="Z102" s="1172"/>
      <c r="AA102" s="1172"/>
      <c r="AB102" s="1172"/>
      <c r="AC102" s="1172"/>
      <c r="AD102" s="1172"/>
      <c r="AE102" s="1172"/>
      <c r="AF102" s="1172"/>
      <c r="AG102" s="1172"/>
      <c r="AH102" s="1061"/>
      <c r="AI102" s="1172"/>
      <c r="AJ102" s="1172"/>
      <c r="AK102" s="1742">
        <f t="shared" si="17"/>
        <v>2.5678365343405298</v>
      </c>
      <c r="AL102" s="1743"/>
      <c r="AM102" s="1172"/>
      <c r="AN102" s="1061"/>
      <c r="AO102" s="1172"/>
      <c r="AP102" s="1172"/>
      <c r="AQ102" s="1172"/>
      <c r="AR102" s="1061"/>
      <c r="AS102" s="1061"/>
      <c r="AT102" s="1061"/>
      <c r="AU102" s="1061"/>
      <c r="AV102" s="1061"/>
      <c r="AW102" s="1181"/>
      <c r="AY102" s="1184"/>
      <c r="AZ102" s="1189">
        <v>211</v>
      </c>
      <c r="BA102" s="1185">
        <v>12</v>
      </c>
      <c r="BB102" s="1188">
        <v>4.8899999999999997</v>
      </c>
      <c r="BC102" s="1187">
        <v>6.8</v>
      </c>
      <c r="BD102" s="1172">
        <v>3000</v>
      </c>
      <c r="BE102" s="1172">
        <v>4000</v>
      </c>
      <c r="BF102" s="1172">
        <v>5000</v>
      </c>
      <c r="BG102" s="1172">
        <v>6000</v>
      </c>
      <c r="BH102" s="1172">
        <v>8000</v>
      </c>
      <c r="BI102" s="1172">
        <v>10000</v>
      </c>
      <c r="BJ102" s="1185" t="s">
        <v>1348</v>
      </c>
      <c r="BK102" s="1185"/>
      <c r="BL102" s="1185"/>
      <c r="BM102" s="1185"/>
      <c r="BN102" s="1186"/>
      <c r="BO102" s="1185" t="s">
        <v>2417</v>
      </c>
      <c r="BP102" s="1185"/>
      <c r="BQ102" s="1185"/>
      <c r="BR102" s="1185"/>
      <c r="BS102" s="1185"/>
      <c r="BT102" s="1185"/>
      <c r="BU102" s="1185"/>
      <c r="BW102" s="1181"/>
    </row>
    <row r="103" spans="21:75">
      <c r="U103" s="1184"/>
      <c r="W103" s="1156"/>
      <c r="X103" s="1172"/>
      <c r="Y103" s="1172" t="s">
        <v>3196</v>
      </c>
      <c r="Z103" s="1172"/>
      <c r="AA103" s="1172"/>
      <c r="AB103" s="1172"/>
      <c r="AC103" s="1172"/>
      <c r="AD103" s="1172"/>
      <c r="AE103" s="1172"/>
      <c r="AF103" s="1172"/>
      <c r="AG103" s="1172"/>
      <c r="AH103" s="1061"/>
      <c r="AI103" s="1172"/>
      <c r="AJ103" s="1172"/>
      <c r="AK103" s="1742">
        <f>$D20</f>
        <v>4.0797823019428199</v>
      </c>
      <c r="AL103" s="1190"/>
      <c r="AM103" s="1172"/>
      <c r="AN103" s="1061"/>
      <c r="AO103" s="1172"/>
      <c r="AP103" s="1172"/>
      <c r="AQ103" s="1172"/>
      <c r="AR103" s="1061"/>
      <c r="AS103" s="1061"/>
      <c r="AT103" s="1061"/>
      <c r="AU103" s="1061"/>
      <c r="AV103" s="1061"/>
      <c r="AW103" s="1181"/>
      <c r="AY103" s="1184"/>
      <c r="AZ103" s="1189">
        <v>212</v>
      </c>
      <c r="BA103" s="1185">
        <v>12</v>
      </c>
      <c r="BB103" s="1188">
        <v>4.8899999999999997</v>
      </c>
      <c r="BC103" s="1187">
        <v>6.8</v>
      </c>
      <c r="BD103" s="1172">
        <v>3000</v>
      </c>
      <c r="BE103" s="1172">
        <v>4000</v>
      </c>
      <c r="BF103" s="1172">
        <v>5000</v>
      </c>
      <c r="BG103" s="1172">
        <v>6000</v>
      </c>
      <c r="BH103" s="1172">
        <v>8000</v>
      </c>
      <c r="BI103" s="1172">
        <v>10000</v>
      </c>
      <c r="BJ103" s="1185" t="s">
        <v>1348</v>
      </c>
      <c r="BK103" s="1185"/>
      <c r="BL103" s="1185"/>
      <c r="BM103" s="1185"/>
      <c r="BN103" s="1186"/>
      <c r="BO103" s="1185" t="s">
        <v>2416</v>
      </c>
      <c r="BP103" s="1185"/>
      <c r="BQ103" s="1185"/>
      <c r="BR103" s="1185"/>
      <c r="BS103" s="1185"/>
      <c r="BT103" s="1185"/>
      <c r="BU103" s="1185"/>
      <c r="BW103" s="1181"/>
    </row>
    <row r="104" spans="21:75">
      <c r="U104" s="1184"/>
      <c r="W104" s="1156"/>
      <c r="X104" s="1172"/>
      <c r="Y104" s="1172"/>
      <c r="Z104" s="1172"/>
      <c r="AA104" s="1172"/>
      <c r="AB104" s="1172"/>
      <c r="AC104" s="1172"/>
      <c r="AD104" s="1172"/>
      <c r="AE104" s="1172"/>
      <c r="AF104" s="1172"/>
      <c r="AG104" s="1172"/>
      <c r="AH104" s="1061"/>
      <c r="AI104" s="1172"/>
      <c r="AJ104" s="1172"/>
      <c r="AK104" s="1742">
        <f t="shared" si="17"/>
        <v>5.6909820801650497</v>
      </c>
      <c r="AL104" s="1172"/>
      <c r="AM104" s="1172"/>
      <c r="AN104" s="1061"/>
      <c r="AO104" s="1172"/>
      <c r="AP104" s="1172"/>
      <c r="AQ104" s="1172"/>
      <c r="AR104" s="1061"/>
      <c r="AS104" s="1061"/>
      <c r="AT104" s="1061"/>
      <c r="AU104" s="1061"/>
      <c r="AV104" s="1061"/>
      <c r="AW104" s="1181"/>
      <c r="AY104" s="1184"/>
      <c r="AZ104" s="1189">
        <v>213</v>
      </c>
      <c r="BA104" s="1172">
        <v>0</v>
      </c>
      <c r="BB104" s="1188">
        <v>4.67</v>
      </c>
      <c r="BC104" s="1187">
        <v>6.7</v>
      </c>
      <c r="BD104" s="1172">
        <v>0</v>
      </c>
      <c r="BE104" s="1172">
        <v>0</v>
      </c>
      <c r="BF104" s="1172">
        <v>0</v>
      </c>
      <c r="BG104" s="1172">
        <v>0</v>
      </c>
      <c r="BH104" s="1172">
        <v>0</v>
      </c>
      <c r="BI104" s="1172">
        <v>0</v>
      </c>
      <c r="BJ104" s="1185" t="s">
        <v>1348</v>
      </c>
      <c r="BK104" s="1185"/>
      <c r="BL104" s="1185" t="s">
        <v>1333</v>
      </c>
      <c r="BM104" s="1185"/>
      <c r="BN104" s="1186"/>
      <c r="BO104" s="1185" t="s">
        <v>2415</v>
      </c>
      <c r="BP104" s="1185"/>
      <c r="BQ104" s="1185"/>
      <c r="BR104" s="1185"/>
      <c r="BS104" s="1185"/>
      <c r="BT104" s="1185"/>
      <c r="BU104" s="1185"/>
      <c r="BW104" s="1181"/>
    </row>
    <row r="105" spans="21:75">
      <c r="U105" s="1184"/>
      <c r="W105" s="1060" t="s">
        <v>785</v>
      </c>
      <c r="AB105" s="1061"/>
      <c r="AH105" s="1061"/>
      <c r="AS105" s="1061"/>
      <c r="AW105" s="1181"/>
      <c r="AY105" s="1184"/>
      <c r="AZ105" s="1189">
        <v>214</v>
      </c>
      <c r="BA105" s="1172">
        <v>0</v>
      </c>
      <c r="BB105" s="1188"/>
      <c r="BC105" s="1187"/>
      <c r="BD105" s="1172"/>
      <c r="BE105" s="1172"/>
      <c r="BF105" s="1172"/>
      <c r="BG105" s="1172"/>
      <c r="BH105" s="1172"/>
      <c r="BI105" s="1172"/>
      <c r="BJ105" s="1185"/>
      <c r="BK105" s="1185"/>
      <c r="BL105" s="1185"/>
      <c r="BM105" s="1185"/>
      <c r="BN105" s="1186"/>
      <c r="BO105" s="1185" t="s">
        <v>2414</v>
      </c>
      <c r="BP105" s="1185"/>
      <c r="BQ105" s="1185"/>
      <c r="BR105" s="1185"/>
      <c r="BS105" s="1185"/>
      <c r="BT105" s="1185"/>
      <c r="BU105" s="1185"/>
      <c r="BW105" s="1181"/>
    </row>
    <row r="106" spans="21:75">
      <c r="U106" s="1184"/>
      <c r="W106" s="1173" t="s">
        <v>449</v>
      </c>
      <c r="X106" s="1060" t="s">
        <v>2413</v>
      </c>
      <c r="Y106" s="1060" t="s">
        <v>2412</v>
      </c>
      <c r="Z106" s="1060" t="s">
        <v>2411</v>
      </c>
      <c r="AA106" s="1060" t="s">
        <v>2410</v>
      </c>
      <c r="AB106" s="1060" t="s">
        <v>2409</v>
      </c>
      <c r="AC106" s="1060" t="s">
        <v>2408</v>
      </c>
      <c r="AD106" s="1060" t="s">
        <v>2407</v>
      </c>
      <c r="AE106" s="1060" t="s">
        <v>2406</v>
      </c>
      <c r="AF106" s="1060" t="s">
        <v>2405</v>
      </c>
      <c r="AG106" s="1060" t="s">
        <v>2404</v>
      </c>
      <c r="AH106" s="1060" t="s">
        <v>2403</v>
      </c>
      <c r="AI106" s="1060" t="s">
        <v>2402</v>
      </c>
      <c r="AJ106" s="1060" t="s">
        <v>2401</v>
      </c>
      <c r="AK106" s="1060" t="s">
        <v>2400</v>
      </c>
      <c r="AL106" s="1060" t="s">
        <v>2399</v>
      </c>
      <c r="AM106" s="1060" t="s">
        <v>2398</v>
      </c>
      <c r="AN106" s="1060" t="s">
        <v>2397</v>
      </c>
      <c r="AO106" s="1060" t="s">
        <v>2396</v>
      </c>
      <c r="AP106" s="1060" t="s">
        <v>2395</v>
      </c>
      <c r="AQ106" s="1060" t="s">
        <v>2394</v>
      </c>
      <c r="AR106" s="1174" t="s">
        <v>2393</v>
      </c>
      <c r="AS106" s="1060" t="s">
        <v>1296</v>
      </c>
      <c r="AT106" s="1060" t="s">
        <v>1297</v>
      </c>
      <c r="AU106" s="1060" t="s">
        <v>1298</v>
      </c>
      <c r="AW106" s="1181"/>
      <c r="AY106" s="1184"/>
      <c r="AZ106" s="1189">
        <v>215</v>
      </c>
      <c r="BA106" s="1185">
        <v>12</v>
      </c>
      <c r="BB106" s="1188">
        <v>4.09</v>
      </c>
      <c r="BC106" s="1187">
        <v>6.1</v>
      </c>
      <c r="BD106" s="1172">
        <v>3000</v>
      </c>
      <c r="BE106" s="1172">
        <v>4000</v>
      </c>
      <c r="BF106" s="1172">
        <v>5000</v>
      </c>
      <c r="BG106" s="1172">
        <v>6000</v>
      </c>
      <c r="BH106" s="1172">
        <v>8000</v>
      </c>
      <c r="BI106" s="1172">
        <v>10000</v>
      </c>
      <c r="BJ106" s="1185" t="s">
        <v>1348</v>
      </c>
      <c r="BK106" s="1185"/>
      <c r="BL106" s="1185"/>
      <c r="BM106" s="1185"/>
      <c r="BN106" s="1186"/>
      <c r="BO106" s="1185" t="s">
        <v>2392</v>
      </c>
      <c r="BP106" s="1185"/>
      <c r="BQ106" s="1185"/>
      <c r="BR106" s="1185"/>
      <c r="BS106" s="1185"/>
      <c r="BT106" s="1185"/>
      <c r="BU106" s="1185"/>
      <c r="BW106" s="1181"/>
    </row>
    <row r="107" spans="21:75">
      <c r="U107" s="1184"/>
      <c r="W107" s="1203" t="s">
        <v>276</v>
      </c>
      <c r="X107" s="1247">
        <f t="shared" ref="X107:AU107" si="18">IF($C10&lt;=X$48,0,IF($C10&lt;=X$49,($C10-X$48)*(1/(X$49-X$48)), IF($C10&lt;=X$50, 1, IF($C10&lt;=X$51, 1-(($C10-X$50)/(X$51-X$50)), 0))))*IF($D10&lt;=X$52,0,IF($D10&lt;=X$53,($D10-X$52)*(1/(X$53-X$52)),IF($D10&lt;=X$54,1,IF($D10&lt;=X$55,1-(($D10-X$54)/(X$55-X$54)),0))))*X74</f>
        <v>127.02058975020806</v>
      </c>
      <c r="Y107" s="1244">
        <f t="shared" si="18"/>
        <v>898.01931809999996</v>
      </c>
      <c r="Z107" s="1244">
        <f t="shared" si="18"/>
        <v>222.50698106973718</v>
      </c>
      <c r="AA107" s="1244">
        <f t="shared" si="18"/>
        <v>498.89962116666663</v>
      </c>
      <c r="AB107" s="1244">
        <f t="shared" si="18"/>
        <v>366.09276388851231</v>
      </c>
      <c r="AC107" s="1244">
        <f t="shared" si="18"/>
        <v>420.51882064360024</v>
      </c>
      <c r="AD107" s="1244">
        <f t="shared" si="18"/>
        <v>29.241300305568238</v>
      </c>
      <c r="AE107" s="1244">
        <f t="shared" si="18"/>
        <v>0</v>
      </c>
      <c r="AF107" s="1244">
        <f t="shared" si="18"/>
        <v>50.944991661475733</v>
      </c>
      <c r="AG107" s="1244">
        <f t="shared" si="18"/>
        <v>673.51448857499986</v>
      </c>
      <c r="AH107" s="1244">
        <f t="shared" si="18"/>
        <v>65.360985068813861</v>
      </c>
      <c r="AI107" s="1244">
        <f t="shared" si="18"/>
        <v>41.264976126405976</v>
      </c>
      <c r="AJ107" s="1244">
        <f t="shared" si="18"/>
        <v>267.24846602366188</v>
      </c>
      <c r="AK107" s="1213">
        <f t="shared" si="18"/>
        <v>598.67954539999994</v>
      </c>
      <c r="AL107" s="1213">
        <f t="shared" si="18"/>
        <v>425.56901985922957</v>
      </c>
      <c r="AM107" s="1244">
        <f t="shared" si="18"/>
        <v>1429.2087730457188</v>
      </c>
      <c r="AN107" s="1244">
        <f t="shared" si="18"/>
        <v>300.08071913150803</v>
      </c>
      <c r="AO107" s="1244">
        <f t="shared" si="18"/>
        <v>719.23477182479553</v>
      </c>
      <c r="AP107" s="1244">
        <f t="shared" si="18"/>
        <v>291.29008258904207</v>
      </c>
      <c r="AQ107" s="1244">
        <f t="shared" si="18"/>
        <v>54.035276935906332</v>
      </c>
      <c r="AR107" s="1061">
        <f t="shared" si="18"/>
        <v>54.035276935906332</v>
      </c>
      <c r="AS107" s="1244">
        <f t="shared" si="18"/>
        <v>0</v>
      </c>
      <c r="AT107" s="1244">
        <f t="shared" si="18"/>
        <v>0</v>
      </c>
      <c r="AU107" s="1244">
        <f t="shared" si="18"/>
        <v>0</v>
      </c>
      <c r="AV107" s="1061"/>
      <c r="AW107" s="1181"/>
      <c r="AY107" s="1184"/>
      <c r="AZ107" s="1189">
        <v>216</v>
      </c>
      <c r="BA107" s="1185">
        <v>12</v>
      </c>
      <c r="BB107" s="1188">
        <v>4.09</v>
      </c>
      <c r="BC107" s="1187">
        <v>6.1</v>
      </c>
      <c r="BD107" s="1172">
        <v>3000</v>
      </c>
      <c r="BE107" s="1172">
        <v>4000</v>
      </c>
      <c r="BF107" s="1172">
        <v>5000</v>
      </c>
      <c r="BG107" s="1172">
        <v>6000</v>
      </c>
      <c r="BH107" s="1172">
        <v>8000</v>
      </c>
      <c r="BI107" s="1172">
        <v>10000</v>
      </c>
      <c r="BJ107" s="1185" t="s">
        <v>1348</v>
      </c>
      <c r="BK107" s="1185"/>
      <c r="BL107" s="1185"/>
      <c r="BM107" s="1185"/>
      <c r="BN107" s="1186"/>
      <c r="BO107" s="1185" t="s">
        <v>2391</v>
      </c>
      <c r="BP107" s="1185"/>
      <c r="BQ107" s="1185"/>
      <c r="BR107" s="1185"/>
      <c r="BS107" s="1185"/>
      <c r="BT107" s="1185"/>
      <c r="BU107" s="1185"/>
      <c r="BW107" s="1181"/>
    </row>
    <row r="108" spans="21:75">
      <c r="U108" s="1184"/>
      <c r="W108" s="1060" t="s">
        <v>277</v>
      </c>
      <c r="X108" s="1243">
        <f t="shared" ref="X108:AU108" si="19">IF($C11&lt;=X$48,0,IF($C11&lt;=X$49,($C11-X$48)*(1/(X$49-X$48)), IF($C11&lt;=X$50, 1, IF($C11&lt;=X$51, 1-(($C11-X$50)/(X$51-X$50)), 0))))*IF($D11&lt;=X$52,0,IF($D11&lt;=X$53,($D11-X$52)*(1/(X$53-X$52)),IF($D11&lt;=X$54,1,IF($D11&lt;=X$55,1-(($D11-X$54)/(X$55-X$54)),0))))*X75</f>
        <v>157.54631607137017</v>
      </c>
      <c r="Y108" s="1061">
        <f t="shared" si="19"/>
        <v>779.35813648451926</v>
      </c>
      <c r="Z108" s="1061">
        <f t="shared" si="19"/>
        <v>328.63656318702903</v>
      </c>
      <c r="AA108" s="1061">
        <f t="shared" si="19"/>
        <v>498.89962116666663</v>
      </c>
      <c r="AB108" s="1061">
        <f t="shared" si="19"/>
        <v>436.46286837036325</v>
      </c>
      <c r="AC108" s="1061">
        <f t="shared" si="19"/>
        <v>438.2425496329941</v>
      </c>
      <c r="AD108" s="1061">
        <f t="shared" si="19"/>
        <v>274.00020082868701</v>
      </c>
      <c r="AE108" s="1061">
        <f t="shared" si="19"/>
        <v>0</v>
      </c>
      <c r="AF108" s="1061">
        <f t="shared" si="19"/>
        <v>328.30934361501022</v>
      </c>
      <c r="AG108" s="1061">
        <f t="shared" si="19"/>
        <v>673.51448857499986</v>
      </c>
      <c r="AH108" s="1061">
        <f t="shared" si="19"/>
        <v>192.02717313614545</v>
      </c>
      <c r="AI108" s="1061">
        <f t="shared" si="19"/>
        <v>375.90638780192876</v>
      </c>
      <c r="AJ108" s="1061">
        <f t="shared" si="19"/>
        <v>260.06436244738143</v>
      </c>
      <c r="AK108" s="1061">
        <f t="shared" si="19"/>
        <v>598.67954539999994</v>
      </c>
      <c r="AL108" s="1061">
        <f t="shared" si="19"/>
        <v>450.53875197995256</v>
      </c>
      <c r="AM108" s="1061">
        <f t="shared" si="19"/>
        <v>1362.4764331593803</v>
      </c>
      <c r="AN108" s="1061">
        <f t="shared" si="19"/>
        <v>317.68758152432548</v>
      </c>
      <c r="AO108" s="1061">
        <f t="shared" si="19"/>
        <v>689.96620169920857</v>
      </c>
      <c r="AP108" s="1061">
        <f t="shared" si="19"/>
        <v>279.43631168817933</v>
      </c>
      <c r="AQ108" s="1061">
        <f t="shared" si="19"/>
        <v>21.226182559179495</v>
      </c>
      <c r="AR108" s="1061">
        <f t="shared" si="19"/>
        <v>24.766706810319313</v>
      </c>
      <c r="AS108" s="1061">
        <f t="shared" si="19"/>
        <v>0</v>
      </c>
      <c r="AT108" s="1061">
        <f t="shared" si="19"/>
        <v>0</v>
      </c>
      <c r="AU108" s="1061">
        <f t="shared" si="19"/>
        <v>0</v>
      </c>
      <c r="AV108" s="1061"/>
      <c r="AW108" s="1181"/>
      <c r="AY108" s="1184"/>
      <c r="AZ108" s="1189">
        <v>217</v>
      </c>
      <c r="BA108" s="1185">
        <v>5</v>
      </c>
      <c r="BB108" s="1188">
        <v>4.8899999999999997</v>
      </c>
      <c r="BC108" s="1187">
        <v>6.8</v>
      </c>
      <c r="BD108" s="1172">
        <v>4000</v>
      </c>
      <c r="BE108" s="1172">
        <v>5000</v>
      </c>
      <c r="BF108" s="1172">
        <v>6000</v>
      </c>
      <c r="BG108" s="1172">
        <v>8000</v>
      </c>
      <c r="BH108" s="1172">
        <v>12000</v>
      </c>
      <c r="BI108" s="1172">
        <v>16000</v>
      </c>
      <c r="BJ108" s="1185" t="s">
        <v>1348</v>
      </c>
      <c r="BK108" s="1185"/>
      <c r="BL108" s="1185"/>
      <c r="BM108" s="1185"/>
      <c r="BN108" s="1186"/>
      <c r="BO108" s="1185" t="s">
        <v>2390</v>
      </c>
      <c r="BP108" s="1185"/>
      <c r="BQ108" s="1185"/>
      <c r="BR108" s="1185"/>
      <c r="BS108" s="1185"/>
      <c r="BT108" s="1185"/>
      <c r="BU108" s="1185"/>
      <c r="BW108" s="1181"/>
    </row>
    <row r="109" spans="21:75">
      <c r="U109" s="1184"/>
      <c r="W109" s="1060" t="s">
        <v>88</v>
      </c>
      <c r="X109" s="1243">
        <f t="shared" ref="X109:AU109" si="20">IF($C12&lt;=X$48,0,IF($C12&lt;=X$49,($C12-X$48)*(1/(X$49-X$48)), IF($C12&lt;=X$50, 1, IF($C12&lt;=X$51, 1-(($C12-X$50)/(X$51-X$50)), 0))))*IF($D12&lt;=X$52,0,IF($D12&lt;=X$53,($D12-X$52)*(1/(X$53-X$52)),IF($D12&lt;=X$54,1,IF($D12&lt;=X$55,1-(($D12-X$54)/(X$55-X$54)),0))))*X76</f>
        <v>148.83348855319437</v>
      </c>
      <c r="Y109" s="1061">
        <f t="shared" si="20"/>
        <v>898.01931809999996</v>
      </c>
      <c r="Z109" s="1061">
        <f t="shared" si="20"/>
        <v>81.270587503239014</v>
      </c>
      <c r="AA109" s="1061">
        <f t="shared" si="20"/>
        <v>473.30378634678527</v>
      </c>
      <c r="AB109" s="1061">
        <f t="shared" si="20"/>
        <v>307.04259031228111</v>
      </c>
      <c r="AC109" s="1061">
        <f t="shared" si="20"/>
        <v>391.94962187504518</v>
      </c>
      <c r="AD109" s="1061">
        <f t="shared" si="20"/>
        <v>0</v>
      </c>
      <c r="AE109" s="1061">
        <f t="shared" si="20"/>
        <v>0</v>
      </c>
      <c r="AF109" s="1061">
        <f t="shared" si="20"/>
        <v>0</v>
      </c>
      <c r="AG109" s="1061">
        <f t="shared" si="20"/>
        <v>673.51448857499986</v>
      </c>
      <c r="AH109" s="1061">
        <f t="shared" si="20"/>
        <v>0</v>
      </c>
      <c r="AI109" s="1061">
        <f t="shared" si="20"/>
        <v>0</v>
      </c>
      <c r="AJ109" s="1061">
        <f t="shared" si="20"/>
        <v>273.8836100738323</v>
      </c>
      <c r="AK109" s="1061">
        <f t="shared" si="20"/>
        <v>598.67954539999994</v>
      </c>
      <c r="AL109" s="1061">
        <f t="shared" si="20"/>
        <v>402.74901582248424</v>
      </c>
      <c r="AM109" s="1061">
        <f t="shared" si="20"/>
        <v>1459.3653197649126</v>
      </c>
      <c r="AN109" s="1061">
        <f t="shared" si="20"/>
        <v>283.98969064405941</v>
      </c>
      <c r="AO109" s="1061">
        <f t="shared" si="20"/>
        <v>746.26684017734158</v>
      </c>
      <c r="AP109" s="1061">
        <f t="shared" si="20"/>
        <v>302.23807027182323</v>
      </c>
      <c r="AQ109" s="1061">
        <f t="shared" si="20"/>
        <v>70.001600108242684</v>
      </c>
      <c r="AR109" s="1061">
        <f t="shared" si="20"/>
        <v>81.06734528845233</v>
      </c>
      <c r="AS109" s="1061">
        <f t="shared" si="20"/>
        <v>0</v>
      </c>
      <c r="AT109" s="1061">
        <f t="shared" si="20"/>
        <v>0</v>
      </c>
      <c r="AU109" s="1061">
        <f t="shared" si="20"/>
        <v>0</v>
      </c>
      <c r="AV109" s="1061"/>
      <c r="AW109" s="1181"/>
      <c r="AY109" s="1184"/>
      <c r="AZ109" s="1189">
        <v>218</v>
      </c>
      <c r="BA109" s="1185">
        <v>12</v>
      </c>
      <c r="BB109" s="1188">
        <v>10.73</v>
      </c>
      <c r="BC109" s="1187">
        <v>6</v>
      </c>
      <c r="BD109" s="1172">
        <v>3000</v>
      </c>
      <c r="BE109" s="1172">
        <v>4000</v>
      </c>
      <c r="BF109" s="1172">
        <v>5000</v>
      </c>
      <c r="BG109" s="1172">
        <v>6000</v>
      </c>
      <c r="BH109" s="1172">
        <v>8000</v>
      </c>
      <c r="BI109" s="1172">
        <v>10000</v>
      </c>
      <c r="BJ109" s="1185" t="s">
        <v>1348</v>
      </c>
      <c r="BK109" s="1185"/>
      <c r="BL109" s="1185"/>
      <c r="BM109" s="1185"/>
      <c r="BN109" s="1186"/>
      <c r="BO109" s="1185" t="s">
        <v>2389</v>
      </c>
      <c r="BP109" s="1185"/>
      <c r="BQ109" s="1185"/>
      <c r="BR109" s="1185"/>
      <c r="BS109" s="1185"/>
      <c r="BT109" s="1185"/>
      <c r="BU109" s="1185"/>
      <c r="BW109" s="1181"/>
    </row>
    <row r="110" spans="21:75">
      <c r="U110" s="1184"/>
      <c r="W110" s="1060" t="s">
        <v>89</v>
      </c>
      <c r="X110" s="1243">
        <f t="shared" ref="X110:AU110" si="21">IF($C13&lt;=X$48,0,IF($C13&lt;=X$49,($C13-X$48)*(1/(X$49-X$48)), IF($C13&lt;=X$50, 1, IF($C13&lt;=X$51, 1-(($C13-X$50)/(X$51-X$50)), 0))))*IF($D13&lt;=X$52,0,IF($D13&lt;=X$53,($D13-X$52)*(1/(X$53-X$52)),IF($D13&lt;=X$54,1,IF($D13&lt;=X$55,1-(($D13-X$54)/(X$55-X$54)),0))))*X77</f>
        <v>219.27768606536131</v>
      </c>
      <c r="Y110" s="1061">
        <f t="shared" si="21"/>
        <v>898.01931809999996</v>
      </c>
      <c r="Z110" s="1061">
        <f t="shared" si="21"/>
        <v>301.73907770185821</v>
      </c>
      <c r="AA110" s="1061">
        <f t="shared" si="21"/>
        <v>498.89962116666663</v>
      </c>
      <c r="AB110" s="1061">
        <f t="shared" si="21"/>
        <v>389.73135011490791</v>
      </c>
      <c r="AC110" s="1061">
        <f t="shared" si="21"/>
        <v>482.40996438430363</v>
      </c>
      <c r="AD110" s="1061">
        <f t="shared" si="21"/>
        <v>111.4602257611318</v>
      </c>
      <c r="AE110" s="1061">
        <f t="shared" si="21"/>
        <v>0</v>
      </c>
      <c r="AF110" s="1061">
        <f t="shared" si="21"/>
        <v>205.82065618413878</v>
      </c>
      <c r="AG110" s="1061">
        <f t="shared" si="21"/>
        <v>673.51448857499986</v>
      </c>
      <c r="AH110" s="1061">
        <f t="shared" si="21"/>
        <v>107.91044027632586</v>
      </c>
      <c r="AI110" s="1061">
        <f t="shared" si="21"/>
        <v>174.0793977786816</v>
      </c>
      <c r="AJ110" s="1061">
        <f t="shared" si="21"/>
        <v>297.38285378309257</v>
      </c>
      <c r="AK110" s="1061">
        <f t="shared" si="21"/>
        <v>598.67954539999994</v>
      </c>
      <c r="AL110" s="1061">
        <f t="shared" si="21"/>
        <v>527.81301780142223</v>
      </c>
      <c r="AM110" s="1061">
        <f t="shared" si="21"/>
        <v>1709.1237526777634</v>
      </c>
      <c r="AN110" s="1061">
        <f t="shared" si="21"/>
        <v>372.17584588561823</v>
      </c>
      <c r="AO110" s="1061">
        <f t="shared" si="21"/>
        <v>842.00449973358718</v>
      </c>
      <c r="AP110" s="1061">
        <f t="shared" si="21"/>
        <v>341.01182239210266</v>
      </c>
      <c r="AQ110" s="1061">
        <f t="shared" si="21"/>
        <v>176.80500484469795</v>
      </c>
      <c r="AR110" s="1061">
        <f t="shared" si="21"/>
        <v>176.80500484469795</v>
      </c>
      <c r="AS110" s="1061">
        <f t="shared" si="21"/>
        <v>0</v>
      </c>
      <c r="AT110" s="1061">
        <f t="shared" si="21"/>
        <v>0</v>
      </c>
      <c r="AU110" s="1061">
        <f t="shared" si="21"/>
        <v>0</v>
      </c>
      <c r="AV110" s="1061"/>
      <c r="AW110" s="1181"/>
      <c r="AY110" s="1184"/>
      <c r="AZ110" s="1189">
        <v>219</v>
      </c>
      <c r="BA110" s="1185">
        <v>12</v>
      </c>
      <c r="BB110" s="1188">
        <v>10.73</v>
      </c>
      <c r="BC110" s="1187">
        <v>6</v>
      </c>
      <c r="BD110" s="1172">
        <v>3000</v>
      </c>
      <c r="BE110" s="1172">
        <v>4000</v>
      </c>
      <c r="BF110" s="1172">
        <v>5000</v>
      </c>
      <c r="BG110" s="1172">
        <v>6000</v>
      </c>
      <c r="BH110" s="1172">
        <v>8000</v>
      </c>
      <c r="BI110" s="1172">
        <v>10000</v>
      </c>
      <c r="BJ110" s="1185" t="s">
        <v>1348</v>
      </c>
      <c r="BK110" s="1185"/>
      <c r="BL110" s="1185"/>
      <c r="BM110" s="1185"/>
      <c r="BN110" s="1186"/>
      <c r="BO110" s="1185" t="s">
        <v>2388</v>
      </c>
      <c r="BP110" s="1185"/>
      <c r="BQ110" s="1185"/>
      <c r="BR110" s="1185"/>
      <c r="BS110" s="1185"/>
      <c r="BT110" s="1185"/>
      <c r="BU110" s="1185"/>
      <c r="BW110" s="1181"/>
    </row>
    <row r="111" spans="21:75">
      <c r="U111" s="1184"/>
      <c r="W111" s="1060" t="s">
        <v>39</v>
      </c>
      <c r="X111" s="1243">
        <f t="shared" ref="X111:AU111" si="22">IF($C14&lt;=X$48,0,IF($C14&lt;=X$49,($C14-X$48)*(1/(X$49-X$48)), IF($C14&lt;=X$50, 1, IF($C14&lt;=X$51, 1-(($C14-X$50)/(X$51-X$50)), 0))))*IF($D14&lt;=X$52,0,IF($D14&lt;=X$53,($D14-X$52)*(1/(X$53-X$52)),IF($D14&lt;=X$54,1,IF($D14&lt;=X$55,1-(($D14-X$54)/(X$55-X$54)),0))))*X78</f>
        <v>313.65567898590058</v>
      </c>
      <c r="Y111" s="1061">
        <f t="shared" si="22"/>
        <v>207.53394205002778</v>
      </c>
      <c r="Z111" s="1061">
        <f t="shared" si="22"/>
        <v>390.06991231593037</v>
      </c>
      <c r="AA111" s="1061">
        <f t="shared" si="22"/>
        <v>498.89962116666663</v>
      </c>
      <c r="AB111" s="1061">
        <f t="shared" si="22"/>
        <v>498.89962116666663</v>
      </c>
      <c r="AC111" s="1061">
        <f t="shared" si="22"/>
        <v>498.89962116666663</v>
      </c>
      <c r="AD111" s="1061">
        <f t="shared" si="22"/>
        <v>673.14534952616089</v>
      </c>
      <c r="AE111" s="1061">
        <f t="shared" si="22"/>
        <v>0</v>
      </c>
      <c r="AF111" s="1061">
        <f t="shared" si="22"/>
        <v>125.01535338884807</v>
      </c>
      <c r="AG111" s="1061">
        <f t="shared" si="22"/>
        <v>673.51448857499986</v>
      </c>
      <c r="AH111" s="1061">
        <f t="shared" si="22"/>
        <v>398.59042523043144</v>
      </c>
      <c r="AI111" s="1061">
        <f t="shared" si="22"/>
        <v>598.67954539999994</v>
      </c>
      <c r="AJ111" s="1061">
        <f t="shared" si="22"/>
        <v>329.87498645749668</v>
      </c>
      <c r="AK111" s="1061">
        <f t="shared" si="22"/>
        <v>598.67954539999994</v>
      </c>
      <c r="AL111" s="1061">
        <f t="shared" si="22"/>
        <v>772.89742123921928</v>
      </c>
      <c r="AM111" s="1061">
        <f t="shared" si="22"/>
        <v>1895.8185604333332</v>
      </c>
      <c r="AN111" s="1061">
        <f t="shared" si="22"/>
        <v>544.9917713866289</v>
      </c>
      <c r="AO111" s="1061">
        <f t="shared" si="22"/>
        <v>329.35540499046044</v>
      </c>
      <c r="AP111" s="1061">
        <f t="shared" si="22"/>
        <v>394.62384130486942</v>
      </c>
      <c r="AQ111" s="1061">
        <f t="shared" si="22"/>
        <v>51.988614877580154</v>
      </c>
      <c r="AR111" s="1061">
        <f t="shared" si="22"/>
        <v>300.90099624790702</v>
      </c>
      <c r="AS111" s="1061">
        <f t="shared" si="22"/>
        <v>0</v>
      </c>
      <c r="AT111" s="1061">
        <f t="shared" si="22"/>
        <v>0</v>
      </c>
      <c r="AU111" s="1061">
        <f t="shared" si="22"/>
        <v>0</v>
      </c>
      <c r="AV111" s="1061"/>
      <c r="AW111" s="1181"/>
      <c r="AY111" s="1184"/>
      <c r="AZ111" s="1189">
        <v>221</v>
      </c>
      <c r="BA111" s="1185">
        <v>6</v>
      </c>
      <c r="BB111" s="1188">
        <v>6.88</v>
      </c>
      <c r="BC111" s="1187">
        <v>7</v>
      </c>
      <c r="BD111" s="1172">
        <v>4000</v>
      </c>
      <c r="BE111" s="1172">
        <v>5000</v>
      </c>
      <c r="BF111" s="1172">
        <v>6000</v>
      </c>
      <c r="BG111" s="1172">
        <v>8000</v>
      </c>
      <c r="BH111" s="1172">
        <v>12000</v>
      </c>
      <c r="BI111" s="1172">
        <v>16000</v>
      </c>
      <c r="BJ111" s="1185" t="s">
        <v>1894</v>
      </c>
      <c r="BK111" s="1185"/>
      <c r="BL111" s="1185" t="s">
        <v>1333</v>
      </c>
      <c r="BM111" s="1185"/>
      <c r="BN111" s="1186"/>
      <c r="BO111" s="1185" t="s">
        <v>2387</v>
      </c>
      <c r="BP111" s="1185"/>
      <c r="BQ111" s="1185"/>
      <c r="BR111" s="1185"/>
      <c r="BS111" s="1185"/>
      <c r="BT111" s="1185"/>
      <c r="BU111" s="1185"/>
      <c r="BW111" s="1181"/>
    </row>
    <row r="112" spans="21:75">
      <c r="U112" s="1184"/>
      <c r="W112" s="1060" t="s">
        <v>90</v>
      </c>
      <c r="X112" s="1243">
        <f t="shared" ref="X112:AU112" si="23">IF($C15&lt;=X$48,0,IF($C15&lt;=X$49,($C15-X$48)*(1/(X$49-X$48)), IF($C15&lt;=X$50, 1, IF($C15&lt;=X$51, 1-(($C15-X$50)/(X$51-X$50)), 0))))*IF($D15&lt;=X$52,0,IF($D15&lt;=X$53,($D15-X$52)*(1/(X$53-X$52)),IF($D15&lt;=X$54,1,IF($D15&lt;=X$55,1-(($D15-X$54)/(X$55-X$54)),0))))*X79</f>
        <v>360.66890408298241</v>
      </c>
      <c r="Y112" s="1061">
        <f t="shared" si="23"/>
        <v>0</v>
      </c>
      <c r="Z112" s="1061">
        <f t="shared" si="23"/>
        <v>412.79916724093698</v>
      </c>
      <c r="AA112" s="1061">
        <f t="shared" si="23"/>
        <v>498.89962116666663</v>
      </c>
      <c r="AB112" s="1061">
        <f t="shared" si="23"/>
        <v>498.89962116666663</v>
      </c>
      <c r="AC112" s="1061">
        <f t="shared" si="23"/>
        <v>498.89962116666663</v>
      </c>
      <c r="AD112" s="1061">
        <f t="shared" si="23"/>
        <v>673.51448857499986</v>
      </c>
      <c r="AE112" s="1061">
        <f t="shared" si="23"/>
        <v>0</v>
      </c>
      <c r="AF112" s="1061">
        <f t="shared" si="23"/>
        <v>0</v>
      </c>
      <c r="AG112" s="1061">
        <f t="shared" si="23"/>
        <v>673.51448857499986</v>
      </c>
      <c r="AH112" s="1061">
        <f t="shared" si="23"/>
        <v>449.00965904999998</v>
      </c>
      <c r="AI112" s="1061">
        <f t="shared" si="23"/>
        <v>251.3814179539774</v>
      </c>
      <c r="AJ112" s="1061">
        <f t="shared" si="23"/>
        <v>131.01564699477441</v>
      </c>
      <c r="AK112" s="1061">
        <f t="shared" si="23"/>
        <v>598.67954539999994</v>
      </c>
      <c r="AL112" s="1061">
        <f t="shared" si="23"/>
        <v>699.73113372964121</v>
      </c>
      <c r="AM112" s="1061">
        <f t="shared" si="23"/>
        <v>1558.2033711459735</v>
      </c>
      <c r="AN112" s="1061">
        <f t="shared" si="23"/>
        <v>497.74706058275092</v>
      </c>
      <c r="AO112" s="1061">
        <f t="shared" si="23"/>
        <v>0</v>
      </c>
      <c r="AP112" s="1061">
        <f t="shared" si="23"/>
        <v>437.24119428925678</v>
      </c>
      <c r="AQ112" s="1061">
        <f t="shared" si="23"/>
        <v>0</v>
      </c>
      <c r="AR112" s="1061">
        <f t="shared" si="23"/>
        <v>38.923382436261477</v>
      </c>
      <c r="AS112" s="1061">
        <f t="shared" si="23"/>
        <v>0</v>
      </c>
      <c r="AT112" s="1061">
        <f t="shared" si="23"/>
        <v>0</v>
      </c>
      <c r="AU112" s="1061">
        <f t="shared" si="23"/>
        <v>0</v>
      </c>
      <c r="AV112" s="1061"/>
      <c r="AW112" s="1181"/>
      <c r="AY112" s="1184"/>
      <c r="AZ112" s="1189">
        <v>223</v>
      </c>
      <c r="BA112" s="1185">
        <v>6</v>
      </c>
      <c r="BB112" s="1188">
        <v>6.88</v>
      </c>
      <c r="BC112" s="1187">
        <v>7</v>
      </c>
      <c r="BD112" s="1172">
        <v>4000</v>
      </c>
      <c r="BE112" s="1172">
        <v>5000</v>
      </c>
      <c r="BF112" s="1172">
        <v>6000</v>
      </c>
      <c r="BG112" s="1172">
        <v>8000</v>
      </c>
      <c r="BH112" s="1172">
        <v>12000</v>
      </c>
      <c r="BI112" s="1172">
        <v>16000</v>
      </c>
      <c r="BJ112" s="1185" t="s">
        <v>1894</v>
      </c>
      <c r="BK112" s="1185"/>
      <c r="BL112" s="1185" t="s">
        <v>1333</v>
      </c>
      <c r="BM112" s="1185"/>
      <c r="BN112" s="1186"/>
      <c r="BO112" s="1185" t="s">
        <v>2386</v>
      </c>
      <c r="BP112" s="1185"/>
      <c r="BQ112" s="1185"/>
      <c r="BR112" s="1185"/>
      <c r="BS112" s="1185"/>
      <c r="BT112" s="1185"/>
      <c r="BU112" s="1185"/>
      <c r="BW112" s="1181"/>
    </row>
    <row r="113" spans="21:75">
      <c r="U113" s="1184"/>
      <c r="W113" s="1060" t="s">
        <v>91</v>
      </c>
      <c r="X113" s="1243">
        <f t="shared" ref="X113:AU113" si="24">IF($C16&lt;=X$48,0,IF($C16&lt;=X$49,($C16-X$48)*(1/(X$49-X$48)), IF($C16&lt;=X$50, 1, IF($C16&lt;=X$51, 1-(($C16-X$50)/(X$51-X$50)), 0))))*IF($D16&lt;=X$52,0,IF($D16&lt;=X$53,($D16-X$52)*(1/(X$53-X$52)),IF($D16&lt;=X$54,1,IF($D16&lt;=X$55,1-(($D16-X$54)/(X$55-X$54)),0))))*X80</f>
        <v>384.71147587403999</v>
      </c>
      <c r="Y113" s="1061">
        <f t="shared" si="24"/>
        <v>77.551643899050021</v>
      </c>
      <c r="Z113" s="1061">
        <f t="shared" si="24"/>
        <v>433.61613938885273</v>
      </c>
      <c r="AA113" s="1061">
        <f t="shared" si="24"/>
        <v>498.89962116666663</v>
      </c>
      <c r="AB113" s="1061">
        <f t="shared" si="24"/>
        <v>498.89962116666663</v>
      </c>
      <c r="AC113" s="1061">
        <f t="shared" si="24"/>
        <v>498.89962116666663</v>
      </c>
      <c r="AD113" s="1061">
        <f t="shared" si="24"/>
        <v>673.51448857499986</v>
      </c>
      <c r="AE113" s="1061">
        <f t="shared" si="24"/>
        <v>0</v>
      </c>
      <c r="AF113" s="1061">
        <f t="shared" si="24"/>
        <v>8.3026095428433102</v>
      </c>
      <c r="AG113" s="1061">
        <f t="shared" si="24"/>
        <v>673.51448857499986</v>
      </c>
      <c r="AH113" s="1061">
        <f t="shared" si="24"/>
        <v>445.54465781114283</v>
      </c>
      <c r="AI113" s="1061">
        <f t="shared" si="24"/>
        <v>598.67954539999994</v>
      </c>
      <c r="AJ113" s="1061">
        <f t="shared" si="24"/>
        <v>379.3593354039993</v>
      </c>
      <c r="AK113" s="1061">
        <f t="shared" si="24"/>
        <v>598.67954539999994</v>
      </c>
      <c r="AL113" s="1061">
        <f t="shared" si="24"/>
        <v>822.44105061268783</v>
      </c>
      <c r="AM113" s="1061">
        <f t="shared" si="24"/>
        <v>1752.21985220744</v>
      </c>
      <c r="AN113" s="1061">
        <f t="shared" si="24"/>
        <v>620.36935996047475</v>
      </c>
      <c r="AO113" s="1061">
        <f t="shared" si="24"/>
        <v>23.178579715711084</v>
      </c>
      <c r="AP113" s="1061">
        <f t="shared" si="24"/>
        <v>476.27301706659875</v>
      </c>
      <c r="AQ113" s="1061">
        <f t="shared" si="24"/>
        <v>5.9025565809828651</v>
      </c>
      <c r="AR113" s="1061">
        <f t="shared" si="24"/>
        <v>272.00311231374531</v>
      </c>
      <c r="AS113" s="1061">
        <f t="shared" si="24"/>
        <v>0</v>
      </c>
      <c r="AT113" s="1061">
        <f t="shared" si="24"/>
        <v>0</v>
      </c>
      <c r="AU113" s="1061">
        <f t="shared" si="24"/>
        <v>0</v>
      </c>
      <c r="AV113" s="1061"/>
      <c r="AW113" s="1181"/>
      <c r="AY113" s="1184"/>
      <c r="AZ113" s="1189">
        <v>224</v>
      </c>
      <c r="BA113" s="1185">
        <v>6</v>
      </c>
      <c r="BB113" s="1188">
        <v>6.88</v>
      </c>
      <c r="BC113" s="1187">
        <v>7</v>
      </c>
      <c r="BD113" s="1172">
        <v>4000</v>
      </c>
      <c r="BE113" s="1172">
        <v>5000</v>
      </c>
      <c r="BF113" s="1172">
        <v>6000</v>
      </c>
      <c r="BG113" s="1172">
        <v>8000</v>
      </c>
      <c r="BH113" s="1172">
        <v>12000</v>
      </c>
      <c r="BI113" s="1172">
        <v>16000</v>
      </c>
      <c r="BJ113" s="1185" t="s">
        <v>1894</v>
      </c>
      <c r="BK113" s="1185"/>
      <c r="BL113" s="1185" t="s">
        <v>1333</v>
      </c>
      <c r="BM113" s="1185"/>
      <c r="BN113" s="1186">
        <v>0.25</v>
      </c>
      <c r="BO113" s="1185" t="s">
        <v>2385</v>
      </c>
      <c r="BP113" s="1185"/>
      <c r="BQ113" s="1185"/>
      <c r="BR113" s="1185"/>
      <c r="BS113" s="1185"/>
      <c r="BT113" s="1185"/>
      <c r="BU113" s="1185"/>
      <c r="BW113" s="1181"/>
    </row>
    <row r="114" spans="21:75">
      <c r="U114" s="1184"/>
      <c r="W114" s="1060" t="s">
        <v>92</v>
      </c>
      <c r="X114" s="1243">
        <f t="shared" ref="X114:AU114" si="25">IF($C17&lt;=X$48,0,IF($C17&lt;=X$49,($C17-X$48)*(1/(X$49-X$48)), IF($C17&lt;=X$50, 1, IF($C17&lt;=X$51, 1-(($C17-X$50)/(X$51-X$50)), 0))))*IF($D17&lt;=X$52,0,IF($D17&lt;=X$53,($D17-X$52)*(1/(X$53-X$52)),IF($D17&lt;=X$54,1,IF($D17&lt;=X$55,1-(($D17-X$54)/(X$55-X$54)),0))))*X81</f>
        <v>362.08138905792003</v>
      </c>
      <c r="Y114" s="1061">
        <f t="shared" si="25"/>
        <v>11.180252514412571</v>
      </c>
      <c r="Z114" s="1061">
        <f t="shared" si="25"/>
        <v>445.01445175831441</v>
      </c>
      <c r="AA114" s="1061">
        <f t="shared" si="25"/>
        <v>498.89962116666663</v>
      </c>
      <c r="AB114" s="1061">
        <f t="shared" si="25"/>
        <v>498.89962116666663</v>
      </c>
      <c r="AC114" s="1061">
        <f t="shared" si="25"/>
        <v>498.89962116666663</v>
      </c>
      <c r="AD114" s="1061">
        <f t="shared" si="25"/>
        <v>673.51448857499986</v>
      </c>
      <c r="AE114" s="1061">
        <f t="shared" si="25"/>
        <v>0</v>
      </c>
      <c r="AF114" s="1061">
        <f t="shared" si="25"/>
        <v>0</v>
      </c>
      <c r="AG114" s="1061">
        <f t="shared" si="25"/>
        <v>673.51448857499986</v>
      </c>
      <c r="AH114" s="1061">
        <f t="shared" si="25"/>
        <v>449.00965904999998</v>
      </c>
      <c r="AI114" s="1061">
        <f t="shared" si="25"/>
        <v>434.03576929808645</v>
      </c>
      <c r="AJ114" s="1061">
        <f t="shared" si="25"/>
        <v>274.83140100833162</v>
      </c>
      <c r="AK114" s="1061">
        <f t="shared" si="25"/>
        <v>598.67954539999994</v>
      </c>
      <c r="AL114" s="1061">
        <f t="shared" si="25"/>
        <v>770.04968663336786</v>
      </c>
      <c r="AM114" s="1061">
        <f t="shared" si="25"/>
        <v>1652.6762606467321</v>
      </c>
      <c r="AN114" s="1061">
        <f t="shared" si="25"/>
        <v>610.748122446857</v>
      </c>
      <c r="AO114" s="1061">
        <f t="shared" si="25"/>
        <v>0</v>
      </c>
      <c r="AP114" s="1061">
        <f t="shared" si="25"/>
        <v>497.64485275933947</v>
      </c>
      <c r="AQ114" s="1061">
        <f t="shared" si="25"/>
        <v>0</v>
      </c>
      <c r="AR114" s="1061">
        <f t="shared" si="25"/>
        <v>173.2880702564683</v>
      </c>
      <c r="AS114" s="1061">
        <f t="shared" si="25"/>
        <v>0</v>
      </c>
      <c r="AT114" s="1061">
        <f t="shared" si="25"/>
        <v>0</v>
      </c>
      <c r="AU114" s="1061">
        <f t="shared" si="25"/>
        <v>0</v>
      </c>
      <c r="AV114" s="1061"/>
      <c r="AW114" s="1181"/>
      <c r="AY114" s="1184"/>
      <c r="AZ114" s="1189">
        <v>225</v>
      </c>
      <c r="BA114" s="1185">
        <v>6</v>
      </c>
      <c r="BB114" s="1188">
        <v>6.88</v>
      </c>
      <c r="BC114" s="1187">
        <v>7</v>
      </c>
      <c r="BD114" s="1172">
        <v>4000</v>
      </c>
      <c r="BE114" s="1172">
        <v>5000</v>
      </c>
      <c r="BF114" s="1172">
        <v>6000</v>
      </c>
      <c r="BG114" s="1172">
        <v>8000</v>
      </c>
      <c r="BH114" s="1172">
        <v>12000</v>
      </c>
      <c r="BI114" s="1172">
        <v>16000</v>
      </c>
      <c r="BJ114" s="1185" t="s">
        <v>1894</v>
      </c>
      <c r="BK114" s="1185"/>
      <c r="BL114" s="1185" t="s">
        <v>1333</v>
      </c>
      <c r="BM114" s="1185"/>
      <c r="BN114" s="1186">
        <v>0.25</v>
      </c>
      <c r="BO114" s="1185" t="s">
        <v>2384</v>
      </c>
      <c r="BP114" s="1185"/>
      <c r="BQ114" s="1185"/>
      <c r="BR114" s="1185"/>
      <c r="BS114" s="1185"/>
      <c r="BT114" s="1185"/>
      <c r="BU114" s="1185"/>
      <c r="BW114" s="1181"/>
    </row>
    <row r="115" spans="21:75">
      <c r="U115" s="1184"/>
      <c r="W115" s="1060" t="s">
        <v>93</v>
      </c>
      <c r="X115" s="1243">
        <f t="shared" ref="X115:AU115" si="26">IF($C18&lt;=X$48,0,IF($C18&lt;=X$49,($C18-X$48)*(1/(X$49-X$48)), IF($C18&lt;=X$50, 1, IF($C18&lt;=X$51, 1-(($C18-X$50)/(X$51-X$50)), 0))))*IF($D18&lt;=X$52,0,IF($D18&lt;=X$53,($D18-X$52)*(1/(X$53-X$52)),IF($D18&lt;=X$54,1,IF($D18&lt;=X$55,1-(($D18-X$54)/(X$55-X$54)),0))))*X82</f>
        <v>300.65686769988002</v>
      </c>
      <c r="Y115" s="1061">
        <f t="shared" si="26"/>
        <v>0</v>
      </c>
      <c r="Z115" s="1061">
        <f t="shared" si="26"/>
        <v>128.35239453106891</v>
      </c>
      <c r="AA115" s="1061">
        <f t="shared" si="26"/>
        <v>91.509251243050954</v>
      </c>
      <c r="AB115" s="1061">
        <f t="shared" si="26"/>
        <v>0</v>
      </c>
      <c r="AC115" s="1061">
        <f t="shared" si="26"/>
        <v>498.89962116666663</v>
      </c>
      <c r="AD115" s="1061">
        <f t="shared" si="26"/>
        <v>673.51448857499986</v>
      </c>
      <c r="AE115" s="1061">
        <f t="shared" si="26"/>
        <v>1068.576612295316</v>
      </c>
      <c r="AF115" s="1061">
        <f t="shared" si="26"/>
        <v>0</v>
      </c>
      <c r="AG115" s="1061">
        <f t="shared" si="26"/>
        <v>214.05077798064758</v>
      </c>
      <c r="AH115" s="1061">
        <f t="shared" si="26"/>
        <v>449.00965904999998</v>
      </c>
      <c r="AI115" s="1061">
        <f t="shared" si="26"/>
        <v>0</v>
      </c>
      <c r="AJ115" s="1061">
        <f t="shared" si="26"/>
        <v>0</v>
      </c>
      <c r="AK115" s="1061">
        <f t="shared" si="26"/>
        <v>598.67954539999994</v>
      </c>
      <c r="AL115" s="1061">
        <f t="shared" si="26"/>
        <v>448.87424412529003</v>
      </c>
      <c r="AM115" s="1061">
        <f t="shared" si="26"/>
        <v>1042.4429198813843</v>
      </c>
      <c r="AN115" s="1061">
        <f t="shared" si="26"/>
        <v>359.04450172608398</v>
      </c>
      <c r="AO115" s="1061">
        <f t="shared" si="26"/>
        <v>0</v>
      </c>
      <c r="AP115" s="1061">
        <f t="shared" si="26"/>
        <v>135.39214598196031</v>
      </c>
      <c r="AQ115" s="1061">
        <f t="shared" si="26"/>
        <v>0</v>
      </c>
      <c r="AR115" s="1061">
        <f t="shared" si="26"/>
        <v>0</v>
      </c>
      <c r="AS115" s="1061">
        <f t="shared" si="26"/>
        <v>0</v>
      </c>
      <c r="AT115" s="1061">
        <f t="shared" si="26"/>
        <v>0</v>
      </c>
      <c r="AU115" s="1061">
        <f t="shared" si="26"/>
        <v>0</v>
      </c>
      <c r="AV115" s="1061"/>
      <c r="AW115" s="1181"/>
      <c r="AY115" s="1184"/>
      <c r="AZ115" s="1189">
        <v>226</v>
      </c>
      <c r="BA115" s="1185">
        <v>6</v>
      </c>
      <c r="BB115" s="1188">
        <v>6.88</v>
      </c>
      <c r="BC115" s="1187">
        <v>7</v>
      </c>
      <c r="BD115" s="1172">
        <v>4000</v>
      </c>
      <c r="BE115" s="1172">
        <v>5000</v>
      </c>
      <c r="BF115" s="1172">
        <v>6000</v>
      </c>
      <c r="BG115" s="1172">
        <v>8000</v>
      </c>
      <c r="BH115" s="1172">
        <v>12000</v>
      </c>
      <c r="BI115" s="1172">
        <v>16000</v>
      </c>
      <c r="BJ115" s="1185" t="s">
        <v>1894</v>
      </c>
      <c r="BK115" s="1185"/>
      <c r="BL115" s="1185" t="s">
        <v>1333</v>
      </c>
      <c r="BM115" s="1185"/>
      <c r="BN115" s="1186"/>
      <c r="BO115" s="1185" t="s">
        <v>2383</v>
      </c>
      <c r="BP115" s="1185"/>
      <c r="BQ115" s="1185"/>
      <c r="BR115" s="1185"/>
      <c r="BS115" s="1185"/>
      <c r="BT115" s="1185"/>
      <c r="BU115" s="1185"/>
      <c r="BW115" s="1181"/>
    </row>
    <row r="116" spans="21:75">
      <c r="U116" s="1184"/>
      <c r="W116" s="1060" t="s">
        <v>94</v>
      </c>
      <c r="X116" s="1243">
        <f t="shared" ref="X116:AU116" si="27">IF($C19&lt;=X$48,0,IF($C19&lt;=X$49,($C19-X$48)*(1/(X$49-X$48)), IF($C19&lt;=X$50, 1, IF($C19&lt;=X$51, 1-(($C19-X$50)/(X$51-X$50)), 0))))*IF($D19&lt;=X$52,0,IF($D19&lt;=X$53,($D19-X$52)*(1/(X$53-X$52)),IF($D19&lt;=X$54,1,IF($D19&lt;=X$55,1-(($D19-X$54)/(X$55-X$54)),0))))*X83</f>
        <v>186.53868321551121</v>
      </c>
      <c r="Y116" s="1061">
        <f t="shared" si="27"/>
        <v>0</v>
      </c>
      <c r="Z116" s="1061">
        <f t="shared" si="27"/>
        <v>427.89759512783326</v>
      </c>
      <c r="AA116" s="1061">
        <f t="shared" si="27"/>
        <v>498.89962116666663</v>
      </c>
      <c r="AB116" s="1061">
        <f t="shared" si="27"/>
        <v>472.15571977847202</v>
      </c>
      <c r="AC116" s="1061">
        <f t="shared" si="27"/>
        <v>498.89962116666663</v>
      </c>
      <c r="AD116" s="1061">
        <f t="shared" si="27"/>
        <v>673.51448857499986</v>
      </c>
      <c r="AE116" s="1061">
        <f t="shared" si="27"/>
        <v>111.98419406958087</v>
      </c>
      <c r="AF116" s="1061">
        <f t="shared" si="27"/>
        <v>0</v>
      </c>
      <c r="AG116" s="1061">
        <f t="shared" si="27"/>
        <v>653.82125209823835</v>
      </c>
      <c r="AH116" s="1061">
        <f t="shared" si="27"/>
        <v>449.00965904999998</v>
      </c>
      <c r="AI116" s="1061">
        <f t="shared" si="27"/>
        <v>131.75413746224476</v>
      </c>
      <c r="AJ116" s="1061">
        <f t="shared" si="27"/>
        <v>56.207994064064145</v>
      </c>
      <c r="AK116" s="1061">
        <f t="shared" si="27"/>
        <v>598.67954539999994</v>
      </c>
      <c r="AL116" s="1061">
        <f t="shared" si="27"/>
        <v>687.7619090780554</v>
      </c>
      <c r="AM116" s="1061">
        <f t="shared" si="27"/>
        <v>1496.3294832916386</v>
      </c>
      <c r="AN116" s="1061">
        <f t="shared" si="27"/>
        <v>509.95766763159594</v>
      </c>
      <c r="AO116" s="1061">
        <f t="shared" si="27"/>
        <v>0</v>
      </c>
      <c r="AP116" s="1061">
        <f t="shared" si="27"/>
        <v>465.55074657718728</v>
      </c>
      <c r="AQ116" s="1061">
        <f t="shared" si="27"/>
        <v>0</v>
      </c>
      <c r="AR116" s="1061">
        <f t="shared" si="27"/>
        <v>0</v>
      </c>
      <c r="AS116" s="1061">
        <f t="shared" si="27"/>
        <v>0</v>
      </c>
      <c r="AT116" s="1061">
        <f t="shared" si="27"/>
        <v>0</v>
      </c>
      <c r="AU116" s="1061">
        <f t="shared" si="27"/>
        <v>0</v>
      </c>
      <c r="AV116" s="1061"/>
      <c r="AW116" s="1181"/>
      <c r="AY116" s="1184"/>
      <c r="AZ116" s="1189">
        <v>227</v>
      </c>
      <c r="BA116" s="1185">
        <v>6</v>
      </c>
      <c r="BB116" s="1188">
        <v>6.88</v>
      </c>
      <c r="BC116" s="1187">
        <v>7</v>
      </c>
      <c r="BD116" s="1172">
        <v>4000</v>
      </c>
      <c r="BE116" s="1172">
        <v>5000</v>
      </c>
      <c r="BF116" s="1172">
        <v>6000</v>
      </c>
      <c r="BG116" s="1172">
        <v>8000</v>
      </c>
      <c r="BH116" s="1172">
        <v>12000</v>
      </c>
      <c r="BI116" s="1172">
        <v>16000</v>
      </c>
      <c r="BJ116" s="1185" t="s">
        <v>1894</v>
      </c>
      <c r="BK116" s="1185"/>
      <c r="BL116" s="1185" t="s">
        <v>1390</v>
      </c>
      <c r="BM116" s="1185"/>
      <c r="BN116" s="1186"/>
      <c r="BO116" s="1185" t="s">
        <v>2382</v>
      </c>
      <c r="BP116" s="1185"/>
      <c r="BQ116" s="1185"/>
      <c r="BR116" s="1185"/>
      <c r="BS116" s="1185"/>
      <c r="BT116" s="1185"/>
      <c r="BU116" s="1185"/>
      <c r="BW116" s="1181"/>
    </row>
    <row r="117" spans="21:75">
      <c r="U117" s="1184"/>
      <c r="W117" s="1060" t="s">
        <v>95</v>
      </c>
      <c r="X117" s="1243">
        <f t="shared" ref="X117:AU117" si="28">IF($C20&lt;=X$48,0,IF($C20&lt;=X$49,($C20-X$48)*(1/(X$49-X$48)), IF($C20&lt;=X$50, 1, IF($C20&lt;=X$51, 1-(($C20-X$50)/(X$51-X$50)), 0))))*IF($D20&lt;=X$52,0,IF($D20&lt;=X$53,($D20-X$52)*(1/(X$53-X$52)),IF($D20&lt;=X$54,1,IF($D20&lt;=X$55,1-(($D20-X$54)/(X$55-X$54)),0))))*X84</f>
        <v>226.28844966291973</v>
      </c>
      <c r="Y117" s="1061">
        <f t="shared" si="28"/>
        <v>543.99348197968754</v>
      </c>
      <c r="Z117" s="1061">
        <f t="shared" si="28"/>
        <v>396.43548676738237</v>
      </c>
      <c r="AA117" s="1061">
        <f t="shared" si="28"/>
        <v>498.89962116666663</v>
      </c>
      <c r="AB117" s="1061">
        <f t="shared" si="28"/>
        <v>483.69736314433715</v>
      </c>
      <c r="AC117" s="1061">
        <f t="shared" si="28"/>
        <v>498.89962116666663</v>
      </c>
      <c r="AD117" s="1061">
        <f t="shared" si="28"/>
        <v>438.28961169100222</v>
      </c>
      <c r="AE117" s="1061">
        <f t="shared" si="28"/>
        <v>0</v>
      </c>
      <c r="AF117" s="1061">
        <f t="shared" si="28"/>
        <v>379.31547825300754</v>
      </c>
      <c r="AG117" s="1061">
        <f t="shared" si="28"/>
        <v>673.51448857499986</v>
      </c>
      <c r="AH117" s="1061">
        <f t="shared" si="28"/>
        <v>277.04926372929845</v>
      </c>
      <c r="AI117" s="1061">
        <f t="shared" si="28"/>
        <v>598.67954539999994</v>
      </c>
      <c r="AJ117" s="1061">
        <f t="shared" si="28"/>
        <v>337.10859378869208</v>
      </c>
      <c r="AK117" s="1061">
        <f t="shared" si="28"/>
        <v>598.67954539999994</v>
      </c>
      <c r="AL117" s="1061">
        <f t="shared" si="28"/>
        <v>733.0965666872512</v>
      </c>
      <c r="AM117" s="1061">
        <f t="shared" si="28"/>
        <v>1895.8185604333332</v>
      </c>
      <c r="AN117" s="1061">
        <f t="shared" si="28"/>
        <v>516.92706625383096</v>
      </c>
      <c r="AO117" s="1061">
        <f t="shared" si="28"/>
        <v>997.79924233333327</v>
      </c>
      <c r="AP117" s="1061">
        <f t="shared" si="28"/>
        <v>406.55929340134185</v>
      </c>
      <c r="AQ117" s="1061">
        <f t="shared" si="28"/>
        <v>194.21394329456982</v>
      </c>
      <c r="AR117" s="1061">
        <f t="shared" si="28"/>
        <v>338.65061227491827</v>
      </c>
      <c r="AS117" s="1061">
        <f t="shared" si="28"/>
        <v>0</v>
      </c>
      <c r="AT117" s="1061">
        <f t="shared" si="28"/>
        <v>0</v>
      </c>
      <c r="AU117" s="1061">
        <f t="shared" si="28"/>
        <v>0</v>
      </c>
      <c r="AV117" s="1061"/>
      <c r="AW117" s="1181"/>
      <c r="AY117" s="1184"/>
      <c r="AZ117" s="1189">
        <v>231</v>
      </c>
      <c r="BA117" s="1185">
        <v>7</v>
      </c>
      <c r="BB117" s="1188">
        <v>13.08</v>
      </c>
      <c r="BC117" s="1187">
        <v>5.8</v>
      </c>
      <c r="BD117" s="1172">
        <v>8000</v>
      </c>
      <c r="BE117" s="1172">
        <v>10000</v>
      </c>
      <c r="BF117" s="1172">
        <v>12000</v>
      </c>
      <c r="BG117" s="1172">
        <v>20000</v>
      </c>
      <c r="BH117" s="1172">
        <v>25000</v>
      </c>
      <c r="BI117" s="1172">
        <v>30000</v>
      </c>
      <c r="BJ117" s="1185" t="s">
        <v>1348</v>
      </c>
      <c r="BK117" s="1185"/>
      <c r="BL117" s="1185" t="s">
        <v>1390</v>
      </c>
      <c r="BM117" s="1185"/>
      <c r="BN117" s="1186"/>
      <c r="BO117" s="1185" t="s">
        <v>2381</v>
      </c>
      <c r="BP117" s="1185"/>
      <c r="BQ117" s="1185"/>
      <c r="BR117" s="1185"/>
      <c r="BS117" s="1185"/>
      <c r="BT117" s="1185"/>
      <c r="BU117" s="1185"/>
      <c r="BW117" s="1181"/>
    </row>
    <row r="118" spans="21:75">
      <c r="U118" s="1184"/>
      <c r="W118" s="1174" t="s">
        <v>96</v>
      </c>
      <c r="X118" s="1249">
        <f t="shared" ref="X118:AU118" si="29">IF($C21&lt;=X$48,0,IF($C21&lt;=X$49,($C21-X$48)*(1/(X$49-X$48)), IF($C21&lt;=X$50, 1, IF($C21&lt;=X$51, 1-(($C21-X$50)/(X$51-X$50)), 0))))*IF($D21&lt;=X$52,0,IF($D21&lt;=X$53,($D21-X$52)*(1/(X$53-X$52)),IF($D21&lt;=X$54,1,IF($D21&lt;=X$55,1-(($D21-X$54)/(X$55-X$54)),0))))*X85</f>
        <v>83.665718578801076</v>
      </c>
      <c r="Y118" s="1176">
        <f t="shared" si="29"/>
        <v>898.01931809999996</v>
      </c>
      <c r="Z118" s="1176">
        <f t="shared" si="29"/>
        <v>189.35054253445705</v>
      </c>
      <c r="AA118" s="1176">
        <f t="shared" si="29"/>
        <v>498.89962116666663</v>
      </c>
      <c r="AB118" s="1176">
        <f t="shared" si="29"/>
        <v>347.45550569028836</v>
      </c>
      <c r="AC118" s="1176">
        <f t="shared" si="29"/>
        <v>448.63465335250692</v>
      </c>
      <c r="AD118" s="1176">
        <f t="shared" si="29"/>
        <v>0</v>
      </c>
      <c r="AE118" s="1176">
        <f t="shared" si="29"/>
        <v>0</v>
      </c>
      <c r="AF118" s="1176">
        <f t="shared" si="29"/>
        <v>0</v>
      </c>
      <c r="AG118" s="1176">
        <f t="shared" si="29"/>
        <v>673.51448857499986</v>
      </c>
      <c r="AH118" s="1176">
        <f t="shared" si="29"/>
        <v>31.813920312010673</v>
      </c>
      <c r="AI118" s="1176">
        <f t="shared" si="29"/>
        <v>0</v>
      </c>
      <c r="AJ118" s="1176">
        <f t="shared" si="29"/>
        <v>292.6819386486294</v>
      </c>
      <c r="AK118" s="1176">
        <f t="shared" si="29"/>
        <v>598.67954539999994</v>
      </c>
      <c r="AL118" s="1176">
        <f t="shared" si="29"/>
        <v>481.39905306384389</v>
      </c>
      <c r="AM118" s="1176">
        <f t="shared" si="29"/>
        <v>1665.457474317639</v>
      </c>
      <c r="AN118" s="1176">
        <f t="shared" si="29"/>
        <v>339.44805023732579</v>
      </c>
      <c r="AO118" s="1176">
        <f t="shared" si="29"/>
        <v>822.85262325984843</v>
      </c>
      <c r="AP118" s="1176">
        <f t="shared" si="29"/>
        <v>333.2553124202384</v>
      </c>
      <c r="AQ118" s="1176">
        <f t="shared" si="29"/>
        <v>157.65312837095908</v>
      </c>
      <c r="AR118" s="1176">
        <f t="shared" si="29"/>
        <v>157.65312837095908</v>
      </c>
      <c r="AS118" s="1176">
        <f t="shared" si="29"/>
        <v>0</v>
      </c>
      <c r="AT118" s="1176">
        <f t="shared" si="29"/>
        <v>0</v>
      </c>
      <c r="AU118" s="1176">
        <f t="shared" si="29"/>
        <v>0</v>
      </c>
      <c r="AV118" s="1061"/>
      <c r="AW118" s="1181"/>
      <c r="AY118" s="1184"/>
      <c r="AZ118" s="1189">
        <v>232</v>
      </c>
      <c r="BA118" s="1185">
        <v>7</v>
      </c>
      <c r="BB118" s="1188">
        <v>13.08</v>
      </c>
      <c r="BC118" s="1187">
        <v>5.8</v>
      </c>
      <c r="BD118" s="1172">
        <v>8000</v>
      </c>
      <c r="BE118" s="1172">
        <v>10000</v>
      </c>
      <c r="BF118" s="1172">
        <v>12000</v>
      </c>
      <c r="BG118" s="1172">
        <v>20000</v>
      </c>
      <c r="BH118" s="1172">
        <v>25000</v>
      </c>
      <c r="BI118" s="1172">
        <v>30000</v>
      </c>
      <c r="BJ118" s="1185" t="s">
        <v>1348</v>
      </c>
      <c r="BK118" s="1185"/>
      <c r="BL118" s="1185" t="s">
        <v>1390</v>
      </c>
      <c r="BM118" s="1185"/>
      <c r="BN118" s="1186"/>
      <c r="BO118" s="1185" t="s">
        <v>2380</v>
      </c>
      <c r="BP118" s="1185"/>
      <c r="BQ118" s="1185"/>
      <c r="BR118" s="1185"/>
      <c r="BS118" s="1185"/>
      <c r="BT118" s="1185"/>
      <c r="BU118" s="1185"/>
      <c r="BW118" s="1181"/>
    </row>
    <row r="119" spans="21:75">
      <c r="U119" s="1184"/>
      <c r="W119" s="1206" t="s">
        <v>76</v>
      </c>
      <c r="X119" s="1061">
        <f t="shared" ref="X119:AU119" si="30">SUM(X107:X118)</f>
        <v>2870.9452475980893</v>
      </c>
      <c r="Y119" s="1061">
        <f t="shared" si="30"/>
        <v>5211.6947293276971</v>
      </c>
      <c r="Z119" s="1061">
        <f t="shared" si="30"/>
        <v>3757.6888991266396</v>
      </c>
      <c r="AA119" s="1061">
        <f t="shared" si="30"/>
        <v>5553.809249256502</v>
      </c>
      <c r="AB119" s="1061">
        <f t="shared" si="30"/>
        <v>4798.2366459658288</v>
      </c>
      <c r="AC119" s="1061">
        <f t="shared" si="30"/>
        <v>5674.0529580551156</v>
      </c>
      <c r="AD119" s="1061">
        <f t="shared" si="30"/>
        <v>4893.7091309875495</v>
      </c>
      <c r="AE119" s="1061">
        <f t="shared" si="30"/>
        <v>1180.5608063648967</v>
      </c>
      <c r="AF119" s="1061">
        <f t="shared" si="30"/>
        <v>1097.7084326453237</v>
      </c>
      <c r="AG119" s="1061">
        <f t="shared" si="30"/>
        <v>7603.0169158288827</v>
      </c>
      <c r="AH119" s="1061">
        <f t="shared" si="30"/>
        <v>3314.3355017641679</v>
      </c>
      <c r="AI119" s="1061">
        <f t="shared" si="30"/>
        <v>3204.4607226213247</v>
      </c>
      <c r="AJ119" s="1061">
        <f t="shared" si="30"/>
        <v>2899.6591886939559</v>
      </c>
      <c r="AK119" s="1061">
        <f t="shared" si="30"/>
        <v>7184.1545448000006</v>
      </c>
      <c r="AL119" s="1061">
        <f t="shared" si="30"/>
        <v>7222.9208706324443</v>
      </c>
      <c r="AM119" s="1061">
        <f t="shared" si="30"/>
        <v>18919.140761005248</v>
      </c>
      <c r="AN119" s="1061">
        <f t="shared" si="30"/>
        <v>5273.1674374110589</v>
      </c>
      <c r="AO119" s="1061">
        <f t="shared" si="30"/>
        <v>5170.658163734287</v>
      </c>
      <c r="AP119" s="1061">
        <f t="shared" si="30"/>
        <v>4360.5166907419398</v>
      </c>
      <c r="AQ119" s="1061">
        <f t="shared" si="30"/>
        <v>731.82630757211837</v>
      </c>
      <c r="AR119" s="1061">
        <f t="shared" si="30"/>
        <v>1618.0936357796356</v>
      </c>
      <c r="AS119" s="1061">
        <f t="shared" si="30"/>
        <v>0</v>
      </c>
      <c r="AT119" s="1061">
        <f t="shared" si="30"/>
        <v>0</v>
      </c>
      <c r="AU119" s="1061">
        <f t="shared" si="30"/>
        <v>0</v>
      </c>
      <c r="AV119" s="1061"/>
      <c r="AW119" s="1181"/>
      <c r="AY119" s="1184"/>
      <c r="AZ119" s="1189">
        <v>233</v>
      </c>
      <c r="BA119" s="1185">
        <v>7</v>
      </c>
      <c r="BB119" s="1188">
        <v>13.08</v>
      </c>
      <c r="BC119" s="1187">
        <v>5.8</v>
      </c>
      <c r="BD119" s="1172">
        <v>8000</v>
      </c>
      <c r="BE119" s="1172">
        <v>10000</v>
      </c>
      <c r="BF119" s="1172">
        <v>12000</v>
      </c>
      <c r="BG119" s="1172">
        <v>20000</v>
      </c>
      <c r="BH119" s="1172">
        <v>25000</v>
      </c>
      <c r="BI119" s="1172">
        <v>30000</v>
      </c>
      <c r="BJ119" s="1185" t="s">
        <v>1348</v>
      </c>
      <c r="BK119" s="1185"/>
      <c r="BL119" s="1185" t="s">
        <v>1390</v>
      </c>
      <c r="BM119" s="1185"/>
      <c r="BN119" s="1186"/>
      <c r="BO119" s="1185" t="s">
        <v>2379</v>
      </c>
      <c r="BP119" s="1185"/>
      <c r="BQ119" s="1185"/>
      <c r="BR119" s="1185"/>
      <c r="BS119" s="1185"/>
      <c r="BT119" s="1185"/>
      <c r="BU119" s="1185"/>
      <c r="BW119" s="1181"/>
    </row>
    <row r="120" spans="21:75">
      <c r="U120" s="1184"/>
      <c r="AM120" s="1061"/>
      <c r="AQ120" s="1061"/>
      <c r="AR120" s="1061"/>
      <c r="AW120" s="1181"/>
      <c r="AY120" s="1184"/>
      <c r="AZ120" s="1189">
        <v>234</v>
      </c>
      <c r="BA120" s="1185">
        <v>7</v>
      </c>
      <c r="BB120" s="1188">
        <v>13.08</v>
      </c>
      <c r="BC120" s="1187">
        <v>5.8</v>
      </c>
      <c r="BD120" s="1172">
        <v>8000</v>
      </c>
      <c r="BE120" s="1172">
        <v>10000</v>
      </c>
      <c r="BF120" s="1172">
        <v>12000</v>
      </c>
      <c r="BG120" s="1172">
        <v>20000</v>
      </c>
      <c r="BH120" s="1172">
        <v>25000</v>
      </c>
      <c r="BI120" s="1172">
        <v>30000</v>
      </c>
      <c r="BJ120" s="1185" t="s">
        <v>1348</v>
      </c>
      <c r="BK120" s="1185"/>
      <c r="BL120" s="1185" t="s">
        <v>1390</v>
      </c>
      <c r="BM120" s="1185"/>
      <c r="BN120" s="1186"/>
      <c r="BO120" s="1185" t="s">
        <v>2378</v>
      </c>
      <c r="BP120" s="1185"/>
      <c r="BQ120" s="1185"/>
      <c r="BR120" s="1185"/>
      <c r="BS120" s="1185"/>
      <c r="BT120" s="1185"/>
      <c r="BU120" s="1185"/>
      <c r="BW120" s="1181"/>
    </row>
    <row r="121" spans="21:75">
      <c r="U121" s="1184"/>
      <c r="AM121" s="1061"/>
      <c r="AQ121" s="1061"/>
      <c r="AR121" s="1061"/>
      <c r="AW121" s="1181"/>
      <c r="AY121" s="1184"/>
      <c r="AZ121" s="1189">
        <v>235</v>
      </c>
      <c r="BA121" s="1185">
        <v>7</v>
      </c>
      <c r="BB121" s="1188">
        <v>13.08</v>
      </c>
      <c r="BC121" s="1187">
        <v>5.8</v>
      </c>
      <c r="BD121" s="1172">
        <v>8000</v>
      </c>
      <c r="BE121" s="1172">
        <v>10000</v>
      </c>
      <c r="BF121" s="1172">
        <v>12000</v>
      </c>
      <c r="BG121" s="1172">
        <v>20000</v>
      </c>
      <c r="BH121" s="1172">
        <v>25000</v>
      </c>
      <c r="BI121" s="1172">
        <v>30000</v>
      </c>
      <c r="BJ121" s="1185" t="s">
        <v>1348</v>
      </c>
      <c r="BK121" s="1185"/>
      <c r="BL121" s="1185" t="s">
        <v>1390</v>
      </c>
      <c r="BM121" s="1185"/>
      <c r="BN121" s="1186"/>
      <c r="BO121" s="1185" t="s">
        <v>2377</v>
      </c>
      <c r="BP121" s="1185"/>
      <c r="BQ121" s="1185"/>
      <c r="BR121" s="1185"/>
      <c r="BS121" s="1185"/>
      <c r="BT121" s="1185"/>
      <c r="BU121" s="1185"/>
      <c r="BW121" s="1181"/>
    </row>
    <row r="122" spans="21:75">
      <c r="U122" s="1184"/>
      <c r="W122" s="1060" t="s">
        <v>730</v>
      </c>
      <c r="AM122" s="1061"/>
      <c r="AQ122" s="1061"/>
      <c r="AR122" s="1061"/>
      <c r="AW122" s="1181"/>
      <c r="AY122" s="1184"/>
      <c r="AZ122" s="1189">
        <v>236</v>
      </c>
      <c r="BA122" s="1185">
        <v>7</v>
      </c>
      <c r="BB122" s="1188">
        <v>13.08</v>
      </c>
      <c r="BC122" s="1187">
        <v>5.8</v>
      </c>
      <c r="BD122" s="1172">
        <v>8000</v>
      </c>
      <c r="BE122" s="1172">
        <v>10000</v>
      </c>
      <c r="BF122" s="1172">
        <v>12000</v>
      </c>
      <c r="BG122" s="1172">
        <v>20000</v>
      </c>
      <c r="BH122" s="1172">
        <v>25000</v>
      </c>
      <c r="BI122" s="1172">
        <v>30000</v>
      </c>
      <c r="BJ122" s="1185" t="s">
        <v>1348</v>
      </c>
      <c r="BK122" s="1185"/>
      <c r="BL122" s="1185" t="s">
        <v>1390</v>
      </c>
      <c r="BM122" s="1185"/>
      <c r="BN122" s="1186"/>
      <c r="BO122" s="1185" t="s">
        <v>2376</v>
      </c>
      <c r="BP122" s="1185"/>
      <c r="BQ122" s="1185"/>
      <c r="BR122" s="1185"/>
      <c r="BS122" s="1185"/>
      <c r="BT122" s="1185"/>
      <c r="BU122" s="1185"/>
      <c r="BW122" s="1181"/>
    </row>
    <row r="123" spans="21:75">
      <c r="U123" s="1184"/>
      <c r="W123" s="1287" t="str">
        <f>VLOOKUP(G4,B53:E76,4,FALSE)</f>
        <v>URDE</v>
      </c>
      <c r="X123" s="1287" t="str">
        <f>G4</f>
        <v>Signal grass</v>
      </c>
      <c r="Z123" s="1735" t="s">
        <v>3194</v>
      </c>
      <c r="AM123" s="1061"/>
      <c r="AQ123" s="1061"/>
      <c r="AR123" s="1061"/>
      <c r="AW123" s="1181"/>
      <c r="AY123" s="1184"/>
      <c r="AZ123" s="1189">
        <v>242</v>
      </c>
      <c r="BA123" s="1185">
        <v>6</v>
      </c>
      <c r="BB123" s="1188">
        <v>8</v>
      </c>
      <c r="BC123" s="1187">
        <v>6.4</v>
      </c>
      <c r="BD123" s="1172">
        <v>4000</v>
      </c>
      <c r="BE123" s="1172">
        <v>5000</v>
      </c>
      <c r="BF123" s="1172">
        <v>6000</v>
      </c>
      <c r="BG123" s="1172">
        <v>8000</v>
      </c>
      <c r="BH123" s="1172">
        <v>12000</v>
      </c>
      <c r="BI123" s="1172">
        <v>16000</v>
      </c>
      <c r="BJ123" s="1185" t="s">
        <v>1894</v>
      </c>
      <c r="BK123" s="1185"/>
      <c r="BL123" s="1185" t="s">
        <v>1333</v>
      </c>
      <c r="BM123" s="1185"/>
      <c r="BN123" s="1186"/>
      <c r="BO123" s="1185" t="s">
        <v>2375</v>
      </c>
      <c r="BP123" s="1185"/>
      <c r="BQ123" s="1185"/>
      <c r="BR123" s="1185"/>
      <c r="BS123" s="1185"/>
      <c r="BT123" s="1185"/>
      <c r="BU123" s="1185"/>
      <c r="BW123" s="1181"/>
    </row>
    <row r="124" spans="21:75">
      <c r="U124" s="1184"/>
      <c r="AM124" s="1061"/>
      <c r="AQ124" s="1061"/>
      <c r="AR124" s="1061"/>
      <c r="AW124" s="1181"/>
      <c r="AY124" s="1184"/>
      <c r="AZ124" s="1189">
        <v>243</v>
      </c>
      <c r="BA124" s="1185">
        <v>6</v>
      </c>
      <c r="BB124" s="1188">
        <v>8</v>
      </c>
      <c r="BC124" s="1187">
        <v>6.4</v>
      </c>
      <c r="BD124" s="1172">
        <v>4000</v>
      </c>
      <c r="BE124" s="1172">
        <v>5000</v>
      </c>
      <c r="BF124" s="1172">
        <v>6000</v>
      </c>
      <c r="BG124" s="1172">
        <v>8000</v>
      </c>
      <c r="BH124" s="1172">
        <v>12000</v>
      </c>
      <c r="BI124" s="1172">
        <v>16000</v>
      </c>
      <c r="BJ124" s="1185" t="s">
        <v>1894</v>
      </c>
      <c r="BK124" s="1185"/>
      <c r="BL124" s="1185" t="s">
        <v>1333</v>
      </c>
      <c r="BM124" s="1185"/>
      <c r="BN124" s="1186"/>
      <c r="BO124" s="1185" t="s">
        <v>2374</v>
      </c>
      <c r="BP124" s="1185"/>
      <c r="BQ124" s="1185"/>
      <c r="BR124" s="1185"/>
      <c r="BS124" s="1185"/>
      <c r="BT124" s="1185"/>
      <c r="BU124" s="1185"/>
      <c r="BW124" s="1181"/>
    </row>
    <row r="125" spans="21:75">
      <c r="U125" s="1184"/>
      <c r="AM125" s="1061"/>
      <c r="AQ125" s="1061"/>
      <c r="AR125" s="1061"/>
      <c r="AW125" s="1181"/>
      <c r="AY125" s="1184"/>
      <c r="AZ125" s="1189">
        <v>244</v>
      </c>
      <c r="BA125" s="1185">
        <v>6</v>
      </c>
      <c r="BB125" s="1188">
        <v>8</v>
      </c>
      <c r="BC125" s="1187">
        <v>6.4</v>
      </c>
      <c r="BD125" s="1172">
        <v>4000</v>
      </c>
      <c r="BE125" s="1172">
        <v>5000</v>
      </c>
      <c r="BF125" s="1172">
        <v>6000</v>
      </c>
      <c r="BG125" s="1172">
        <v>8000</v>
      </c>
      <c r="BH125" s="1172">
        <v>12000</v>
      </c>
      <c r="BI125" s="1172">
        <v>16000</v>
      </c>
      <c r="BJ125" s="1185" t="s">
        <v>1894</v>
      </c>
      <c r="BK125" s="1185"/>
      <c r="BL125" s="1185" t="s">
        <v>1333</v>
      </c>
      <c r="BM125" s="1185"/>
      <c r="BN125" s="1186"/>
      <c r="BO125" s="1185" t="s">
        <v>2373</v>
      </c>
      <c r="BP125" s="1185"/>
      <c r="BQ125" s="1185"/>
      <c r="BR125" s="1185"/>
      <c r="BS125" s="1185"/>
      <c r="BT125" s="1185"/>
      <c r="BU125" s="1185"/>
      <c r="BW125" s="1181"/>
    </row>
    <row r="126" spans="21:75">
      <c r="U126" s="1184"/>
      <c r="W126" s="1173" t="s">
        <v>449</v>
      </c>
      <c r="X126" s="1060" t="s">
        <v>817</v>
      </c>
      <c r="AM126" s="1061"/>
      <c r="AQ126" s="1061"/>
      <c r="AR126" s="1061"/>
      <c r="AW126" s="1181"/>
      <c r="AY126" s="1184"/>
      <c r="AZ126" s="1189">
        <v>245</v>
      </c>
      <c r="BA126" s="1185">
        <v>6</v>
      </c>
      <c r="BB126" s="1188">
        <v>8</v>
      </c>
      <c r="BC126" s="1187">
        <v>6.4</v>
      </c>
      <c r="BD126" s="1172">
        <v>4000</v>
      </c>
      <c r="BE126" s="1172">
        <v>5000</v>
      </c>
      <c r="BF126" s="1172">
        <v>6000</v>
      </c>
      <c r="BG126" s="1172">
        <v>8000</v>
      </c>
      <c r="BH126" s="1172">
        <v>12000</v>
      </c>
      <c r="BI126" s="1172">
        <v>16000</v>
      </c>
      <c r="BJ126" s="1185" t="s">
        <v>1894</v>
      </c>
      <c r="BK126" s="1185"/>
      <c r="BL126" s="1185" t="s">
        <v>1333</v>
      </c>
      <c r="BM126" s="1185"/>
      <c r="BN126" s="1186"/>
      <c r="BO126" s="1185" t="s">
        <v>2372</v>
      </c>
      <c r="BP126" s="1185"/>
      <c r="BQ126" s="1185"/>
      <c r="BR126" s="1185"/>
      <c r="BS126" s="1185"/>
      <c r="BT126" s="1185"/>
      <c r="BU126" s="1185"/>
      <c r="BW126" s="1181"/>
    </row>
    <row r="127" spans="21:75">
      <c r="U127" s="1184"/>
      <c r="W127" s="1206" t="s">
        <v>276</v>
      </c>
      <c r="X127" s="1286">
        <f>HLOOKUP($W$123,$X$106:$AU$118,2,0)*1.1</f>
        <v>59.438804629496971</v>
      </c>
      <c r="AA127" s="1285" t="s">
        <v>2199</v>
      </c>
      <c r="AM127" s="1061"/>
      <c r="AQ127" s="1061"/>
      <c r="AR127" s="1061"/>
      <c r="AW127" s="1181"/>
      <c r="AY127" s="1184"/>
      <c r="AZ127" s="1189">
        <v>248</v>
      </c>
      <c r="BA127" s="1185">
        <v>6</v>
      </c>
      <c r="BB127" s="1188">
        <v>8</v>
      </c>
      <c r="BC127" s="1187">
        <v>6.4</v>
      </c>
      <c r="BD127" s="1172">
        <v>4000</v>
      </c>
      <c r="BE127" s="1172">
        <v>5000</v>
      </c>
      <c r="BF127" s="1172">
        <v>6000</v>
      </c>
      <c r="BG127" s="1172">
        <v>8000</v>
      </c>
      <c r="BH127" s="1172">
        <v>12000</v>
      </c>
      <c r="BI127" s="1172">
        <v>16000</v>
      </c>
      <c r="BJ127" s="1185" t="s">
        <v>1894</v>
      </c>
      <c r="BK127" s="1185"/>
      <c r="BL127" s="1185" t="s">
        <v>1333</v>
      </c>
      <c r="BM127" s="1185"/>
      <c r="BN127" s="1186">
        <v>0.35</v>
      </c>
      <c r="BO127" s="1185" t="s">
        <v>2371</v>
      </c>
      <c r="BP127" s="1185"/>
      <c r="BQ127" s="1185"/>
      <c r="BR127" s="1185"/>
      <c r="BS127" s="1185"/>
      <c r="BT127" s="1185"/>
      <c r="BU127" s="1185"/>
      <c r="BW127" s="1181"/>
    </row>
    <row r="128" spans="21:75">
      <c r="U128" s="1184"/>
      <c r="W128" s="1181" t="s">
        <v>277</v>
      </c>
      <c r="X128" s="1284">
        <f>HLOOKUP($W$123,$X$106:$AU$118,3,0)*1.1</f>
        <v>23.348800815097448</v>
      </c>
      <c r="AA128" s="1060" t="s">
        <v>2370</v>
      </c>
      <c r="AM128" s="1061"/>
      <c r="AQ128" s="1061"/>
      <c r="AR128" s="1061"/>
      <c r="AW128" s="1181"/>
      <c r="AY128" s="1184"/>
      <c r="AZ128" s="1189">
        <v>249</v>
      </c>
      <c r="BA128" s="1185">
        <v>6</v>
      </c>
      <c r="BB128" s="1188">
        <v>8</v>
      </c>
      <c r="BC128" s="1187">
        <v>6.4</v>
      </c>
      <c r="BD128" s="1172">
        <v>4000</v>
      </c>
      <c r="BE128" s="1172">
        <v>5000</v>
      </c>
      <c r="BF128" s="1172">
        <v>6000</v>
      </c>
      <c r="BG128" s="1172">
        <v>8000</v>
      </c>
      <c r="BH128" s="1172">
        <v>12000</v>
      </c>
      <c r="BI128" s="1172">
        <v>16000</v>
      </c>
      <c r="BJ128" s="1185" t="s">
        <v>1894</v>
      </c>
      <c r="BK128" s="1185"/>
      <c r="BL128" s="1185" t="s">
        <v>1333</v>
      </c>
      <c r="BM128" s="1185"/>
      <c r="BN128" s="1186">
        <v>0.15</v>
      </c>
      <c r="BO128" s="1185" t="s">
        <v>2369</v>
      </c>
      <c r="BP128" s="1185"/>
      <c r="BQ128" s="1185"/>
      <c r="BR128" s="1185"/>
      <c r="BS128" s="1185"/>
      <c r="BT128" s="1185"/>
      <c r="BU128" s="1185"/>
      <c r="BW128" s="1181"/>
    </row>
    <row r="129" spans="21:75">
      <c r="U129" s="1184"/>
      <c r="W129" s="1181" t="s">
        <v>88</v>
      </c>
      <c r="X129" s="1284">
        <f>HLOOKUP($W$123,$X$106:$AU$118,4,0)*1.1</f>
        <v>77.001760119066958</v>
      </c>
      <c r="AA129" s="1735" t="s">
        <v>3195</v>
      </c>
      <c r="AM129" s="1061"/>
      <c r="AQ129" s="1061"/>
      <c r="AR129" s="1061"/>
      <c r="AW129" s="1181"/>
      <c r="AY129" s="1184"/>
      <c r="AZ129" s="1189">
        <v>250</v>
      </c>
      <c r="BA129" s="1185">
        <v>6</v>
      </c>
      <c r="BB129" s="1188">
        <v>8</v>
      </c>
      <c r="BC129" s="1187">
        <v>6.4</v>
      </c>
      <c r="BD129" s="1172">
        <v>4000</v>
      </c>
      <c r="BE129" s="1172">
        <v>5000</v>
      </c>
      <c r="BF129" s="1172">
        <v>6000</v>
      </c>
      <c r="BG129" s="1172">
        <v>8000</v>
      </c>
      <c r="BH129" s="1172">
        <v>12000</v>
      </c>
      <c r="BI129" s="1172">
        <v>16000</v>
      </c>
      <c r="BJ129" s="1185" t="s">
        <v>1894</v>
      </c>
      <c r="BK129" s="1185"/>
      <c r="BL129" s="1185" t="s">
        <v>1333</v>
      </c>
      <c r="BM129" s="1185"/>
      <c r="BN129" s="1186">
        <v>0.2</v>
      </c>
      <c r="BO129" s="1185" t="s">
        <v>2368</v>
      </c>
      <c r="BP129" s="1185"/>
      <c r="BQ129" s="1185"/>
      <c r="BR129" s="1185"/>
      <c r="BS129" s="1185"/>
      <c r="BT129" s="1185"/>
      <c r="BU129" s="1185"/>
      <c r="BW129" s="1181"/>
    </row>
    <row r="130" spans="21:75">
      <c r="U130" s="1184"/>
      <c r="W130" s="1181" t="s">
        <v>89</v>
      </c>
      <c r="X130" s="1284">
        <f>HLOOKUP($W$123,$X$106:$AU$118,5,0)*1.1</f>
        <v>194.48550532916775</v>
      </c>
      <c r="AM130" s="1061"/>
      <c r="AQ130" s="1061"/>
      <c r="AR130" s="1061"/>
      <c r="AW130" s="1181"/>
      <c r="AY130" s="1184"/>
      <c r="AZ130" s="1189">
        <v>252</v>
      </c>
      <c r="BA130" s="1185">
        <v>7</v>
      </c>
      <c r="BB130" s="1188">
        <v>18.420000000000002</v>
      </c>
      <c r="BC130" s="1187">
        <v>5.6</v>
      </c>
      <c r="BD130" s="1172">
        <v>8000</v>
      </c>
      <c r="BE130" s="1172">
        <v>10000</v>
      </c>
      <c r="BF130" s="1172">
        <v>12000</v>
      </c>
      <c r="BG130" s="1172">
        <v>20000</v>
      </c>
      <c r="BH130" s="1172">
        <v>25000</v>
      </c>
      <c r="BI130" s="1172">
        <v>30000</v>
      </c>
      <c r="BJ130" s="1185" t="s">
        <v>1348</v>
      </c>
      <c r="BK130" s="1185"/>
      <c r="BL130" s="1185" t="s">
        <v>1390</v>
      </c>
      <c r="BM130" s="1185"/>
      <c r="BN130" s="1186"/>
      <c r="BO130" s="1185" t="s">
        <v>2367</v>
      </c>
      <c r="BP130" s="1185"/>
      <c r="BQ130" s="1185"/>
      <c r="BR130" s="1185"/>
      <c r="BS130" s="1185"/>
      <c r="BT130" s="1185"/>
      <c r="BU130" s="1185"/>
      <c r="BW130" s="1181"/>
    </row>
    <row r="131" spans="21:75">
      <c r="U131" s="1184"/>
      <c r="W131" s="1181" t="s">
        <v>39</v>
      </c>
      <c r="X131" s="1284">
        <f>HLOOKUP($W$123,$X$106:$AU$118,6,0)*1.1</f>
        <v>57.187476365338178</v>
      </c>
      <c r="AM131" s="1061"/>
      <c r="AQ131" s="1061"/>
      <c r="AR131" s="1061"/>
      <c r="AW131" s="1181"/>
      <c r="AY131" s="1184"/>
      <c r="AZ131" s="1189">
        <v>253</v>
      </c>
      <c r="BA131" s="1185">
        <v>7</v>
      </c>
      <c r="BB131" s="1188">
        <v>18.420000000000002</v>
      </c>
      <c r="BC131" s="1187">
        <v>5.6</v>
      </c>
      <c r="BD131" s="1172">
        <v>8000</v>
      </c>
      <c r="BE131" s="1172">
        <v>10000</v>
      </c>
      <c r="BF131" s="1172">
        <v>12000</v>
      </c>
      <c r="BG131" s="1172">
        <v>20000</v>
      </c>
      <c r="BH131" s="1172">
        <v>25000</v>
      </c>
      <c r="BI131" s="1172">
        <v>30000</v>
      </c>
      <c r="BJ131" s="1185" t="s">
        <v>1348</v>
      </c>
      <c r="BK131" s="1185"/>
      <c r="BL131" s="1185" t="s">
        <v>1390</v>
      </c>
      <c r="BM131" s="1185"/>
      <c r="BN131" s="1186"/>
      <c r="BO131" s="1185" t="s">
        <v>2366</v>
      </c>
      <c r="BP131" s="1185"/>
      <c r="BQ131" s="1185"/>
      <c r="BR131" s="1185"/>
      <c r="BS131" s="1185"/>
      <c r="BT131" s="1185"/>
      <c r="BU131" s="1185"/>
      <c r="BW131" s="1181"/>
    </row>
    <row r="132" spans="21:75">
      <c r="U132" s="1184"/>
      <c r="W132" s="1181" t="s">
        <v>90</v>
      </c>
      <c r="X132" s="1284">
        <f>HLOOKUP($W$123,$X$106:$AU$118,7,0)*1.1</f>
        <v>0</v>
      </c>
      <c r="AM132" s="1061"/>
      <c r="AQ132" s="1061"/>
      <c r="AR132" s="1061"/>
      <c r="AW132" s="1181"/>
      <c r="AY132" s="1184"/>
      <c r="AZ132" s="1189">
        <v>254</v>
      </c>
      <c r="BA132" s="1185">
        <v>7</v>
      </c>
      <c r="BB132" s="1188">
        <v>18.420000000000002</v>
      </c>
      <c r="BC132" s="1187">
        <v>5.6</v>
      </c>
      <c r="BD132" s="1172">
        <v>8000</v>
      </c>
      <c r="BE132" s="1172">
        <v>10000</v>
      </c>
      <c r="BF132" s="1172">
        <v>12000</v>
      </c>
      <c r="BG132" s="1172">
        <v>20000</v>
      </c>
      <c r="BH132" s="1172">
        <v>25000</v>
      </c>
      <c r="BI132" s="1172">
        <v>30000</v>
      </c>
      <c r="BJ132" s="1185" t="s">
        <v>1348</v>
      </c>
      <c r="BK132" s="1185"/>
      <c r="BL132" s="1185" t="s">
        <v>1390</v>
      </c>
      <c r="BM132" s="1185"/>
      <c r="BN132" s="1186"/>
      <c r="BO132" s="1185" t="s">
        <v>2365</v>
      </c>
      <c r="BP132" s="1185"/>
      <c r="BQ132" s="1185"/>
      <c r="BR132" s="1185"/>
      <c r="BS132" s="1185"/>
      <c r="BT132" s="1185"/>
      <c r="BU132" s="1185"/>
      <c r="BW132" s="1181"/>
    </row>
    <row r="133" spans="21:75">
      <c r="U133" s="1184"/>
      <c r="W133" s="1181" t="s">
        <v>91</v>
      </c>
      <c r="X133" s="1284">
        <f>HLOOKUP($W$123,$X$106:$AU$118,8,0)*1.1</f>
        <v>6.492812239081152</v>
      </c>
      <c r="AM133" s="1061"/>
      <c r="AQ133" s="1061"/>
      <c r="AR133" s="1061"/>
      <c r="AW133" s="1181"/>
      <c r="AY133" s="1184"/>
      <c r="AZ133" s="1189">
        <v>256</v>
      </c>
      <c r="BA133" s="1185">
        <v>7</v>
      </c>
      <c r="BB133" s="1188">
        <v>18.420000000000002</v>
      </c>
      <c r="BC133" s="1187">
        <v>5.6</v>
      </c>
      <c r="BD133" s="1172">
        <v>8000</v>
      </c>
      <c r="BE133" s="1172">
        <v>10000</v>
      </c>
      <c r="BF133" s="1172">
        <v>12000</v>
      </c>
      <c r="BG133" s="1172">
        <v>20000</v>
      </c>
      <c r="BH133" s="1172">
        <v>25000</v>
      </c>
      <c r="BI133" s="1172">
        <v>30000</v>
      </c>
      <c r="BJ133" s="1185" t="s">
        <v>1348</v>
      </c>
      <c r="BK133" s="1185"/>
      <c r="BL133" s="1185" t="s">
        <v>1390</v>
      </c>
      <c r="BM133" s="1185"/>
      <c r="BN133" s="1186">
        <v>0.25</v>
      </c>
      <c r="BO133" s="1185" t="s">
        <v>2364</v>
      </c>
      <c r="BP133" s="1185"/>
      <c r="BQ133" s="1185"/>
      <c r="BR133" s="1185"/>
      <c r="BS133" s="1185"/>
      <c r="BT133" s="1185"/>
      <c r="BU133" s="1185"/>
      <c r="BW133" s="1181"/>
    </row>
    <row r="134" spans="21:75">
      <c r="U134" s="1184"/>
      <c r="W134" s="1181" t="s">
        <v>92</v>
      </c>
      <c r="X134" s="1284">
        <f>HLOOKUP($W$123,$X$106:$AU$118,9,0)*1.1</f>
        <v>0</v>
      </c>
      <c r="AM134" s="1061"/>
      <c r="AQ134" s="1061"/>
      <c r="AR134" s="1061"/>
      <c r="AW134" s="1181"/>
      <c r="AY134" s="1184"/>
      <c r="AZ134" s="1189">
        <v>257</v>
      </c>
      <c r="BA134" s="1185">
        <v>7</v>
      </c>
      <c r="BB134" s="1188">
        <v>18.420000000000002</v>
      </c>
      <c r="BC134" s="1187">
        <v>5.6</v>
      </c>
      <c r="BD134" s="1172">
        <v>8000</v>
      </c>
      <c r="BE134" s="1172">
        <v>10000</v>
      </c>
      <c r="BF134" s="1172">
        <v>12000</v>
      </c>
      <c r="BG134" s="1172">
        <v>20000</v>
      </c>
      <c r="BH134" s="1172">
        <v>25000</v>
      </c>
      <c r="BI134" s="1172">
        <v>30000</v>
      </c>
      <c r="BJ134" s="1185" t="s">
        <v>1348</v>
      </c>
      <c r="BK134" s="1185"/>
      <c r="BL134" s="1185" t="s">
        <v>1390</v>
      </c>
      <c r="BM134" s="1185"/>
      <c r="BN134" s="1186"/>
      <c r="BO134" s="1185" t="s">
        <v>2363</v>
      </c>
      <c r="BP134" s="1185"/>
      <c r="BQ134" s="1185"/>
      <c r="BR134" s="1185"/>
      <c r="BS134" s="1185"/>
      <c r="BT134" s="1185"/>
      <c r="BU134" s="1185"/>
      <c r="BW134" s="1181"/>
    </row>
    <row r="135" spans="21:75">
      <c r="U135" s="1184"/>
      <c r="W135" s="1181" t="s">
        <v>93</v>
      </c>
      <c r="X135" s="1284">
        <f>HLOOKUP($W$123,$X$106:$AU$118,10,0)*1.1</f>
        <v>0</v>
      </c>
      <c r="AM135" s="1061"/>
      <c r="AQ135" s="1061"/>
      <c r="AR135" s="1061"/>
      <c r="AW135" s="1181"/>
      <c r="AY135" s="1184"/>
      <c r="AZ135" s="1189">
        <v>258</v>
      </c>
      <c r="BA135" s="1185">
        <v>7</v>
      </c>
      <c r="BB135" s="1188">
        <v>18.420000000000002</v>
      </c>
      <c r="BC135" s="1187">
        <v>5.6</v>
      </c>
      <c r="BD135" s="1172">
        <v>8000</v>
      </c>
      <c r="BE135" s="1172">
        <v>10000</v>
      </c>
      <c r="BF135" s="1172">
        <v>12000</v>
      </c>
      <c r="BG135" s="1172">
        <v>20000</v>
      </c>
      <c r="BH135" s="1172">
        <v>25000</v>
      </c>
      <c r="BI135" s="1172">
        <v>30000</v>
      </c>
      <c r="BJ135" s="1185" t="s">
        <v>1348</v>
      </c>
      <c r="BK135" s="1185"/>
      <c r="BL135" s="1185" t="s">
        <v>1390</v>
      </c>
      <c r="BM135" s="1185"/>
      <c r="BN135" s="1186"/>
      <c r="BO135" s="1185" t="s">
        <v>2362</v>
      </c>
      <c r="BP135" s="1185"/>
      <c r="BQ135" s="1185"/>
      <c r="BR135" s="1185"/>
      <c r="BS135" s="1185"/>
      <c r="BT135" s="1185"/>
      <c r="BU135" s="1185"/>
      <c r="BW135" s="1181"/>
    </row>
    <row r="136" spans="21:75">
      <c r="U136" s="1184"/>
      <c r="W136" s="1181" t="s">
        <v>94</v>
      </c>
      <c r="X136" s="1284">
        <f>HLOOKUP($W$123,$X$106:$AU$118,11,0)*1.1</f>
        <v>0</v>
      </c>
      <c r="AL136" s="1060" t="s">
        <v>270</v>
      </c>
      <c r="AM136" s="1061"/>
      <c r="AQ136" s="1061"/>
      <c r="AR136" s="1061"/>
      <c r="AW136" s="1181"/>
      <c r="AY136" s="1184"/>
      <c r="AZ136" s="1189">
        <v>259</v>
      </c>
      <c r="BA136" s="1185">
        <v>7</v>
      </c>
      <c r="BB136" s="1188">
        <v>18.420000000000002</v>
      </c>
      <c r="BC136" s="1187">
        <v>5.6</v>
      </c>
      <c r="BD136" s="1172">
        <v>8000</v>
      </c>
      <c r="BE136" s="1172">
        <v>10000</v>
      </c>
      <c r="BF136" s="1172">
        <v>12000</v>
      </c>
      <c r="BG136" s="1172">
        <v>20000</v>
      </c>
      <c r="BH136" s="1172">
        <v>25000</v>
      </c>
      <c r="BI136" s="1172">
        <v>30000</v>
      </c>
      <c r="BJ136" s="1185" t="s">
        <v>1348</v>
      </c>
      <c r="BK136" s="1185"/>
      <c r="BL136" s="1185" t="s">
        <v>1390</v>
      </c>
      <c r="BM136" s="1185"/>
      <c r="BN136" s="1186"/>
      <c r="BO136" s="1185" t="s">
        <v>2361</v>
      </c>
      <c r="BP136" s="1185"/>
      <c r="BQ136" s="1185"/>
      <c r="BR136" s="1185"/>
      <c r="BS136" s="1185"/>
      <c r="BT136" s="1185"/>
      <c r="BU136" s="1185"/>
      <c r="BW136" s="1181"/>
    </row>
    <row r="137" spans="21:75">
      <c r="U137" s="1184"/>
      <c r="W137" s="1181" t="s">
        <v>95</v>
      </c>
      <c r="X137" s="1284">
        <f>HLOOKUP($W$123,$X$106:$AU$118,12,0)*1.1</f>
        <v>213.63533762402682</v>
      </c>
      <c r="AM137" s="1061"/>
      <c r="AQ137" s="1061"/>
      <c r="AR137" s="1061"/>
      <c r="AW137" s="1181"/>
      <c r="AY137" s="1184"/>
      <c r="AZ137" s="1189">
        <v>260</v>
      </c>
      <c r="BA137" s="1185">
        <v>7</v>
      </c>
      <c r="BB137" s="1188">
        <v>20.47</v>
      </c>
      <c r="BC137" s="1187">
        <v>5.8</v>
      </c>
      <c r="BD137" s="1172">
        <v>8000</v>
      </c>
      <c r="BE137" s="1172">
        <v>10000</v>
      </c>
      <c r="BF137" s="1172">
        <v>12000</v>
      </c>
      <c r="BG137" s="1172">
        <v>20000</v>
      </c>
      <c r="BH137" s="1172">
        <v>25000</v>
      </c>
      <c r="BI137" s="1172">
        <v>30000</v>
      </c>
      <c r="BJ137" s="1185" t="s">
        <v>1348</v>
      </c>
      <c r="BK137" s="1185"/>
      <c r="BL137" s="1185" t="s">
        <v>1390</v>
      </c>
      <c r="BM137" s="1185"/>
      <c r="BN137" s="1186"/>
      <c r="BO137" s="1185" t="s">
        <v>2360</v>
      </c>
      <c r="BP137" s="1185"/>
      <c r="BQ137" s="1185"/>
      <c r="BR137" s="1185"/>
      <c r="BS137" s="1185"/>
      <c r="BT137" s="1185"/>
      <c r="BU137" s="1185"/>
      <c r="BW137" s="1181"/>
    </row>
    <row r="138" spans="21:75">
      <c r="U138" s="1184"/>
      <c r="W138" s="1173" t="s">
        <v>96</v>
      </c>
      <c r="X138" s="1283">
        <f>HLOOKUP($W$123,$X$106:$AU$118,13,0)*1.1</f>
        <v>173.41844120805501</v>
      </c>
      <c r="AM138" s="1061"/>
      <c r="AQ138" s="1061"/>
      <c r="AR138" s="1061"/>
      <c r="AW138" s="1181"/>
      <c r="AY138" s="1184"/>
      <c r="AZ138" s="1189">
        <v>261</v>
      </c>
      <c r="BA138" s="1185">
        <v>7</v>
      </c>
      <c r="BB138" s="1188">
        <v>20.47</v>
      </c>
      <c r="BC138" s="1187">
        <v>5.8</v>
      </c>
      <c r="BD138" s="1172">
        <v>8000</v>
      </c>
      <c r="BE138" s="1172">
        <v>10000</v>
      </c>
      <c r="BF138" s="1172">
        <v>12000</v>
      </c>
      <c r="BG138" s="1172">
        <v>20000</v>
      </c>
      <c r="BH138" s="1172">
        <v>25000</v>
      </c>
      <c r="BI138" s="1172">
        <v>30000</v>
      </c>
      <c r="BJ138" s="1185" t="s">
        <v>1348</v>
      </c>
      <c r="BK138" s="1185"/>
      <c r="BL138" s="1185" t="s">
        <v>1390</v>
      </c>
      <c r="BM138" s="1185"/>
      <c r="BN138" s="1186"/>
      <c r="BO138" s="1185" t="s">
        <v>2359</v>
      </c>
      <c r="BP138" s="1185"/>
      <c r="BQ138" s="1185"/>
      <c r="BR138" s="1185"/>
      <c r="BS138" s="1185"/>
      <c r="BT138" s="1185"/>
      <c r="BU138" s="1185"/>
      <c r="BW138" s="1181"/>
    </row>
    <row r="139" spans="21:75">
      <c r="U139" s="1184"/>
      <c r="W139" s="1206" t="s">
        <v>76</v>
      </c>
      <c r="X139" s="1242">
        <f>SUM(X127:X138)</f>
        <v>805.00893832933025</v>
      </c>
      <c r="AW139" s="1181"/>
      <c r="AY139" s="1184"/>
      <c r="AZ139" s="1189">
        <v>264</v>
      </c>
      <c r="BA139" s="1185">
        <v>7</v>
      </c>
      <c r="BB139" s="1188">
        <v>20.47</v>
      </c>
      <c r="BC139" s="1187">
        <v>5.8</v>
      </c>
      <c r="BD139" s="1172">
        <v>8000</v>
      </c>
      <c r="BE139" s="1172">
        <v>10000</v>
      </c>
      <c r="BF139" s="1172">
        <v>12000</v>
      </c>
      <c r="BG139" s="1172">
        <v>20000</v>
      </c>
      <c r="BH139" s="1172">
        <v>25000</v>
      </c>
      <c r="BI139" s="1172">
        <v>30000</v>
      </c>
      <c r="BJ139" s="1185" t="s">
        <v>1348</v>
      </c>
      <c r="BK139" s="1185"/>
      <c r="BL139" s="1185" t="s">
        <v>1390</v>
      </c>
      <c r="BM139" s="1185"/>
      <c r="BN139" s="1186"/>
      <c r="BO139" s="1185" t="s">
        <v>2358</v>
      </c>
      <c r="BP139" s="1185"/>
      <c r="BQ139" s="1185"/>
      <c r="BR139" s="1185"/>
      <c r="BS139" s="1185"/>
      <c r="BT139" s="1185"/>
      <c r="BU139" s="1185"/>
      <c r="BW139" s="1181"/>
    </row>
    <row r="140" spans="21:75">
      <c r="U140" s="1184"/>
      <c r="X140" s="1061"/>
      <c r="AW140" s="1181"/>
      <c r="AY140" s="1184"/>
      <c r="AZ140" s="1189">
        <v>265</v>
      </c>
      <c r="BA140" s="1185">
        <v>7</v>
      </c>
      <c r="BB140" s="1188">
        <v>20.47</v>
      </c>
      <c r="BC140" s="1187">
        <v>5.8</v>
      </c>
      <c r="BD140" s="1172">
        <v>8000</v>
      </c>
      <c r="BE140" s="1172">
        <v>10000</v>
      </c>
      <c r="BF140" s="1172">
        <v>12000</v>
      </c>
      <c r="BG140" s="1172">
        <v>20000</v>
      </c>
      <c r="BH140" s="1172">
        <v>25000</v>
      </c>
      <c r="BI140" s="1172">
        <v>30000</v>
      </c>
      <c r="BJ140" s="1185" t="s">
        <v>1348</v>
      </c>
      <c r="BK140" s="1185"/>
      <c r="BL140" s="1185" t="s">
        <v>1390</v>
      </c>
      <c r="BM140" s="1185"/>
      <c r="BN140" s="1186"/>
      <c r="BO140" s="1185" t="s">
        <v>2357</v>
      </c>
      <c r="BP140" s="1185"/>
      <c r="BQ140" s="1185"/>
      <c r="BR140" s="1185"/>
      <c r="BS140" s="1185"/>
      <c r="BT140" s="1185"/>
      <c r="BU140" s="1185"/>
      <c r="BW140" s="1181"/>
    </row>
    <row r="141" spans="21:75">
      <c r="U141" s="1184"/>
      <c r="AW141" s="1181"/>
      <c r="AY141" s="1184"/>
      <c r="AZ141" s="1189">
        <v>266</v>
      </c>
      <c r="BA141" s="1185">
        <v>7</v>
      </c>
      <c r="BB141" s="1188">
        <v>20.47</v>
      </c>
      <c r="BC141" s="1187">
        <v>5.8</v>
      </c>
      <c r="BD141" s="1172">
        <v>8000</v>
      </c>
      <c r="BE141" s="1172">
        <v>10000</v>
      </c>
      <c r="BF141" s="1172">
        <v>12000</v>
      </c>
      <c r="BG141" s="1172">
        <v>20000</v>
      </c>
      <c r="BH141" s="1172">
        <v>25000</v>
      </c>
      <c r="BI141" s="1172">
        <v>30000</v>
      </c>
      <c r="BJ141" s="1185" t="s">
        <v>1348</v>
      </c>
      <c r="BK141" s="1185"/>
      <c r="BL141" s="1185" t="s">
        <v>1390</v>
      </c>
      <c r="BM141" s="1185"/>
      <c r="BN141" s="1186"/>
      <c r="BO141" s="1185" t="s">
        <v>2356</v>
      </c>
      <c r="BP141" s="1185"/>
      <c r="BQ141" s="1185"/>
      <c r="BR141" s="1185"/>
      <c r="BS141" s="1185"/>
      <c r="BT141" s="1185"/>
      <c r="BU141" s="1185"/>
      <c r="BW141" s="1181"/>
    </row>
    <row r="142" spans="21:75">
      <c r="U142" s="1241">
        <v>4</v>
      </c>
      <c r="V142" s="1240" t="s">
        <v>854</v>
      </c>
      <c r="W142" s="1203"/>
      <c r="X142" s="1203"/>
      <c r="Y142" s="1282" t="s">
        <v>2355</v>
      </c>
      <c r="Z142" s="1203"/>
      <c r="AA142" s="1203"/>
      <c r="AB142" s="1203"/>
      <c r="AC142" s="1203"/>
      <c r="AD142" s="1203"/>
      <c r="AE142" s="1203"/>
      <c r="AF142" s="1203"/>
      <c r="AG142" s="1203"/>
      <c r="AH142" s="1203"/>
      <c r="AI142" s="1203"/>
      <c r="AJ142" s="1203"/>
      <c r="AK142" s="1203"/>
      <c r="AL142" s="1203"/>
      <c r="AM142" s="1203"/>
      <c r="AN142" s="1203"/>
      <c r="AO142" s="1203"/>
      <c r="AP142" s="1203"/>
      <c r="AQ142" s="1203"/>
      <c r="AR142" s="1203"/>
      <c r="AS142" s="1203"/>
      <c r="AT142" s="1203"/>
      <c r="AU142" s="1203"/>
      <c r="AV142" s="1203"/>
      <c r="AW142" s="1206"/>
      <c r="AY142" s="1184"/>
      <c r="AZ142" s="1189">
        <v>271</v>
      </c>
      <c r="BA142" s="1185">
        <v>6</v>
      </c>
      <c r="BB142" s="1188"/>
      <c r="BC142" s="1187"/>
      <c r="BD142" s="1172">
        <v>4000</v>
      </c>
      <c r="BE142" s="1172">
        <v>5000</v>
      </c>
      <c r="BF142" s="1172">
        <v>6000</v>
      </c>
      <c r="BG142" s="1172">
        <v>8000</v>
      </c>
      <c r="BH142" s="1172">
        <v>12000</v>
      </c>
      <c r="BI142" s="1172">
        <v>16000</v>
      </c>
      <c r="BJ142" s="1185"/>
      <c r="BK142" s="1185"/>
      <c r="BL142" s="1185"/>
      <c r="BM142" s="1185"/>
      <c r="BN142" s="1186">
        <v>0.6</v>
      </c>
      <c r="BO142" s="1185" t="s">
        <v>2354</v>
      </c>
      <c r="BP142" s="1185"/>
      <c r="BQ142" s="1185"/>
      <c r="BR142" s="1185"/>
      <c r="BS142" s="1185"/>
      <c r="BT142" s="1185"/>
      <c r="BU142" s="1185"/>
      <c r="BW142" s="1181"/>
    </row>
    <row r="143" spans="21:75">
      <c r="U143" s="1184"/>
      <c r="AW143" s="1181"/>
      <c r="AY143" s="1184"/>
      <c r="AZ143" s="1189">
        <v>272</v>
      </c>
      <c r="BA143" s="1185">
        <v>6</v>
      </c>
      <c r="BB143" s="1188">
        <v>4</v>
      </c>
      <c r="BC143" s="1187">
        <v>6.9</v>
      </c>
      <c r="BD143" s="1172">
        <v>4000</v>
      </c>
      <c r="BE143" s="1172">
        <v>5000</v>
      </c>
      <c r="BF143" s="1172">
        <v>6000</v>
      </c>
      <c r="BG143" s="1172">
        <v>8000</v>
      </c>
      <c r="BH143" s="1172">
        <v>12000</v>
      </c>
      <c r="BI143" s="1172">
        <v>16000</v>
      </c>
      <c r="BJ143" s="1185" t="s">
        <v>1894</v>
      </c>
      <c r="BK143" s="1185"/>
      <c r="BL143" s="1185" t="s">
        <v>1333</v>
      </c>
      <c r="BM143" s="1185"/>
      <c r="BN143" s="1186"/>
      <c r="BO143" s="1185" t="s">
        <v>2353</v>
      </c>
      <c r="BP143" s="1185"/>
      <c r="BQ143" s="1185"/>
      <c r="BR143" s="1185"/>
      <c r="BS143" s="1185"/>
      <c r="BT143" s="1185"/>
      <c r="BU143" s="1185"/>
      <c r="BW143" s="1181"/>
    </row>
    <row r="144" spans="21:75">
      <c r="U144" s="1184"/>
      <c r="W144" s="1060" t="s">
        <v>2352</v>
      </c>
      <c r="AW144" s="1181"/>
      <c r="AY144" s="1184"/>
      <c r="AZ144" s="1189">
        <v>275</v>
      </c>
      <c r="BA144" s="1185">
        <v>3</v>
      </c>
      <c r="BB144" s="1188">
        <v>4.8899999999999997</v>
      </c>
      <c r="BC144" s="1187">
        <v>6.8</v>
      </c>
      <c r="BD144" s="1172">
        <v>3000</v>
      </c>
      <c r="BE144" s="1172">
        <v>4000</v>
      </c>
      <c r="BF144" s="1172">
        <v>5000</v>
      </c>
      <c r="BG144" s="1172">
        <v>6000</v>
      </c>
      <c r="BH144" s="1172">
        <v>8000</v>
      </c>
      <c r="BI144" s="1172">
        <v>10000</v>
      </c>
      <c r="BJ144" s="1185" t="s">
        <v>1348</v>
      </c>
      <c r="BK144" s="1185"/>
      <c r="BL144" s="1185" t="s">
        <v>1333</v>
      </c>
      <c r="BM144" s="1185"/>
      <c r="BN144" s="1186">
        <v>0.4</v>
      </c>
      <c r="BO144" s="1185" t="s">
        <v>2351</v>
      </c>
      <c r="BP144" s="1185"/>
      <c r="BQ144" s="1185"/>
      <c r="BR144" s="1185"/>
      <c r="BS144" s="1185"/>
      <c r="BT144" s="1185"/>
      <c r="BU144" s="1185"/>
      <c r="BW144" s="1181"/>
    </row>
    <row r="145" spans="21:75">
      <c r="U145" s="1184"/>
      <c r="X145" s="1150" t="s">
        <v>749</v>
      </c>
      <c r="AM145" s="1060" t="s">
        <v>2350</v>
      </c>
      <c r="AW145" s="1181"/>
      <c r="AY145" s="1184"/>
      <c r="AZ145" s="1189">
        <v>276</v>
      </c>
      <c r="BA145" s="1185">
        <v>5</v>
      </c>
      <c r="BB145" s="1188">
        <v>4.8899999999999997</v>
      </c>
      <c r="BC145" s="1187">
        <v>6.8</v>
      </c>
      <c r="BD145" s="1172">
        <v>4000</v>
      </c>
      <c r="BE145" s="1172">
        <v>5000</v>
      </c>
      <c r="BF145" s="1172">
        <v>6000</v>
      </c>
      <c r="BG145" s="1172">
        <v>8000</v>
      </c>
      <c r="BH145" s="1172">
        <v>12000</v>
      </c>
      <c r="BI145" s="1172">
        <v>16000</v>
      </c>
      <c r="BJ145" s="1185" t="s">
        <v>1348</v>
      </c>
      <c r="BK145" s="1185"/>
      <c r="BL145" s="1185" t="s">
        <v>1333</v>
      </c>
      <c r="BM145" s="1185"/>
      <c r="BN145" s="1186"/>
      <c r="BO145" s="1185" t="s">
        <v>2349</v>
      </c>
      <c r="BP145" s="1185"/>
      <c r="BQ145" s="1185"/>
      <c r="BR145" s="1185"/>
      <c r="BS145" s="1185"/>
      <c r="BT145" s="1185"/>
      <c r="BU145" s="1185"/>
      <c r="BW145" s="1181"/>
    </row>
    <row r="146" spans="21:75">
      <c r="U146" s="1184"/>
      <c r="W146" s="1173" t="s">
        <v>449</v>
      </c>
      <c r="X146" s="1060">
        <v>1</v>
      </c>
      <c r="Y146" s="1060">
        <v>2</v>
      </c>
      <c r="Z146" s="1060">
        <v>3</v>
      </c>
      <c r="AA146" s="1060">
        <v>4</v>
      </c>
      <c r="AB146" s="1060">
        <v>5</v>
      </c>
      <c r="AC146" s="1060">
        <v>6</v>
      </c>
      <c r="AD146" s="1060">
        <v>7</v>
      </c>
      <c r="AE146" s="1060">
        <v>8</v>
      </c>
      <c r="AF146" s="1060">
        <v>9</v>
      </c>
      <c r="AG146" s="1060">
        <v>10</v>
      </c>
      <c r="AH146" s="1060">
        <v>11</v>
      </c>
      <c r="AI146" s="1060">
        <v>12</v>
      </c>
      <c r="AJ146" s="1060">
        <v>13</v>
      </c>
      <c r="AK146" s="1060">
        <v>14</v>
      </c>
      <c r="AM146" s="1271" t="s">
        <v>749</v>
      </c>
      <c r="AN146" s="1270" t="s">
        <v>2317</v>
      </c>
      <c r="AO146" s="1174"/>
      <c r="AT146" s="1278" t="s">
        <v>2348</v>
      </c>
      <c r="AU146" s="1281"/>
      <c r="AV146" s="1280"/>
      <c r="AW146" s="1181"/>
      <c r="AY146" s="1184"/>
      <c r="AZ146" s="1189">
        <v>277</v>
      </c>
      <c r="BA146" s="1185">
        <v>12</v>
      </c>
      <c r="BB146" s="1188">
        <v>4.8899999999999997</v>
      </c>
      <c r="BC146" s="1187">
        <v>6.8</v>
      </c>
      <c r="BD146" s="1172">
        <v>3000</v>
      </c>
      <c r="BE146" s="1172">
        <v>4000</v>
      </c>
      <c r="BF146" s="1172">
        <v>5000</v>
      </c>
      <c r="BG146" s="1172">
        <v>6000</v>
      </c>
      <c r="BH146" s="1172">
        <v>8000</v>
      </c>
      <c r="BI146" s="1172">
        <v>10000</v>
      </c>
      <c r="BJ146" s="1185" t="s">
        <v>1348</v>
      </c>
      <c r="BK146" s="1185"/>
      <c r="BL146" s="1185" t="s">
        <v>1333</v>
      </c>
      <c r="BM146" s="1185"/>
      <c r="BN146" s="1186"/>
      <c r="BO146" s="1185" t="s">
        <v>2347</v>
      </c>
      <c r="BP146" s="1185"/>
      <c r="BQ146" s="1185"/>
      <c r="BR146" s="1185"/>
      <c r="BS146" s="1185"/>
      <c r="BT146" s="1185"/>
      <c r="BU146" s="1185"/>
      <c r="BW146" s="1181"/>
    </row>
    <row r="147" spans="21:75">
      <c r="U147" s="1184"/>
      <c r="W147" s="1060" t="s">
        <v>276</v>
      </c>
      <c r="X147" s="1205">
        <v>0.28000000000000003</v>
      </c>
      <c r="Y147" s="1279">
        <v>0.28000000000000003</v>
      </c>
      <c r="Z147" s="1279">
        <v>0.15</v>
      </c>
      <c r="AA147" s="1279">
        <v>0.08</v>
      </c>
      <c r="AB147" s="1279">
        <v>0.08</v>
      </c>
      <c r="AC147" s="1279">
        <v>0.09</v>
      </c>
      <c r="AD147" s="1279">
        <v>0.11</v>
      </c>
      <c r="AE147" s="1279">
        <v>7.0000000000000007E-2</v>
      </c>
      <c r="AF147" s="1279">
        <v>0.04</v>
      </c>
      <c r="AG147" s="1279">
        <v>0.08</v>
      </c>
      <c r="AH147" s="1279">
        <v>0.04</v>
      </c>
      <c r="AI147" s="1279">
        <v>0.05</v>
      </c>
      <c r="AJ147" s="1279">
        <v>4.9887251722114105E-2</v>
      </c>
      <c r="AK147" s="1206"/>
      <c r="AM147" s="1722">
        <v>44630</v>
      </c>
      <c r="AN147" s="1723" t="s">
        <v>2315</v>
      </c>
      <c r="AT147" s="1278" t="s">
        <v>2335</v>
      </c>
      <c r="AU147" s="1277" t="s">
        <v>2346</v>
      </c>
      <c r="AV147" s="1276"/>
      <c r="AW147" s="1181"/>
      <c r="AY147" s="1184"/>
      <c r="AZ147" s="1189">
        <v>280</v>
      </c>
      <c r="BA147" s="1172">
        <v>0</v>
      </c>
      <c r="BB147" s="1188">
        <v>4.67</v>
      </c>
      <c r="BC147" s="1187">
        <v>6.7</v>
      </c>
      <c r="BD147" s="1172">
        <v>0</v>
      </c>
      <c r="BE147" s="1172">
        <v>0</v>
      </c>
      <c r="BF147" s="1172">
        <v>0</v>
      </c>
      <c r="BG147" s="1172">
        <v>0</v>
      </c>
      <c r="BH147" s="1172">
        <v>0</v>
      </c>
      <c r="BI147" s="1172">
        <v>0</v>
      </c>
      <c r="BJ147" s="1185" t="s">
        <v>1348</v>
      </c>
      <c r="BK147" s="1185"/>
      <c r="BL147" s="1185" t="s">
        <v>1333</v>
      </c>
      <c r="BM147" s="1185"/>
      <c r="BN147" s="1186"/>
      <c r="BO147" s="1185" t="s">
        <v>2345</v>
      </c>
      <c r="BP147" s="1185"/>
      <c r="BQ147" s="1185"/>
      <c r="BR147" s="1185"/>
      <c r="BS147" s="1185"/>
      <c r="BT147" s="1185"/>
      <c r="BU147" s="1185"/>
      <c r="BW147" s="1181"/>
    </row>
    <row r="148" spans="21:75">
      <c r="U148" s="1184"/>
      <c r="W148" s="1060" t="s">
        <v>277</v>
      </c>
      <c r="X148" s="1275">
        <v>0.1</v>
      </c>
      <c r="Y148" s="1204">
        <v>0.1</v>
      </c>
      <c r="Z148" s="1204">
        <v>0.12</v>
      </c>
      <c r="AA148" s="1204">
        <v>0.1</v>
      </c>
      <c r="AB148" s="1204">
        <v>0.06</v>
      </c>
      <c r="AC148" s="1204">
        <v>0.1</v>
      </c>
      <c r="AD148" s="1204">
        <v>0.08</v>
      </c>
      <c r="AE148" s="1204">
        <v>0.08</v>
      </c>
      <c r="AF148" s="1204">
        <v>0.04</v>
      </c>
      <c r="AG148" s="1204">
        <v>7.0000000000000007E-2</v>
      </c>
      <c r="AH148" s="1204">
        <v>0.06</v>
      </c>
      <c r="AI148" s="1204">
        <v>0.05</v>
      </c>
      <c r="AJ148" s="1204">
        <v>2.6009328761622343E-2</v>
      </c>
      <c r="AK148" s="1181"/>
      <c r="AM148" s="1264"/>
      <c r="AN148" s="1723" t="s">
        <v>3170</v>
      </c>
      <c r="AT148" s="1278" t="s">
        <v>2344</v>
      </c>
      <c r="AU148" s="1277" t="s">
        <v>2343</v>
      </c>
      <c r="AV148" s="1276"/>
      <c r="AW148" s="1181"/>
      <c r="AY148" s="1184"/>
      <c r="AZ148" s="1189">
        <v>281</v>
      </c>
      <c r="BA148" s="1172">
        <v>0</v>
      </c>
      <c r="BB148" s="1188"/>
      <c r="BC148" s="1187"/>
      <c r="BD148" s="1172">
        <v>0</v>
      </c>
      <c r="BE148" s="1172">
        <v>0</v>
      </c>
      <c r="BF148" s="1172">
        <v>0</v>
      </c>
      <c r="BG148" s="1172">
        <v>0</v>
      </c>
      <c r="BH148" s="1172">
        <v>0</v>
      </c>
      <c r="BI148" s="1172">
        <v>0</v>
      </c>
      <c r="BJ148" s="1185"/>
      <c r="BK148" s="1185"/>
      <c r="BL148" s="1185"/>
      <c r="BM148" s="1185"/>
      <c r="BN148" s="1186"/>
      <c r="BO148" s="1185" t="s">
        <v>2342</v>
      </c>
      <c r="BP148" s="1185"/>
      <c r="BQ148" s="1185"/>
      <c r="BR148" s="1185"/>
      <c r="BS148" s="1185"/>
      <c r="BT148" s="1185"/>
      <c r="BU148" s="1185"/>
      <c r="BW148" s="1181"/>
    </row>
    <row r="149" spans="21:75">
      <c r="U149" s="1184"/>
      <c r="W149" s="1060" t="s">
        <v>88</v>
      </c>
      <c r="X149" s="1275">
        <v>0.2</v>
      </c>
      <c r="Y149" s="1204">
        <v>0.2</v>
      </c>
      <c r="Z149" s="1204">
        <v>0.13</v>
      </c>
      <c r="AA149" s="1204">
        <v>0.11</v>
      </c>
      <c r="AB149" s="1204">
        <v>0.08</v>
      </c>
      <c r="AC149" s="1204">
        <v>0.11</v>
      </c>
      <c r="AD149" s="1204">
        <v>0.08</v>
      </c>
      <c r="AE149" s="1204">
        <v>0.09</v>
      </c>
      <c r="AF149" s="1204">
        <v>0.06</v>
      </c>
      <c r="AG149" s="1204">
        <v>0.08</v>
      </c>
      <c r="AH149" s="1204">
        <v>7.0000000000000007E-2</v>
      </c>
      <c r="AI149" s="1204">
        <v>0.06</v>
      </c>
      <c r="AJ149" s="1204">
        <v>5.090661971395917E-2</v>
      </c>
      <c r="AK149" s="1181"/>
      <c r="AM149" s="1264"/>
      <c r="AN149" s="1184"/>
      <c r="AT149" s="1278" t="s">
        <v>2332</v>
      </c>
      <c r="AU149" s="1277" t="s">
        <v>2341</v>
      </c>
      <c r="AV149" s="1276"/>
      <c r="AW149" s="1181"/>
      <c r="AY149" s="1184"/>
      <c r="AZ149" s="1189">
        <v>290</v>
      </c>
      <c r="BA149" s="1185">
        <v>3</v>
      </c>
      <c r="BB149" s="1188">
        <v>4.09</v>
      </c>
      <c r="BC149" s="1187">
        <v>6.1</v>
      </c>
      <c r="BD149" s="1172">
        <v>3000</v>
      </c>
      <c r="BE149" s="1172">
        <v>4000</v>
      </c>
      <c r="BF149" s="1172">
        <v>5000</v>
      </c>
      <c r="BG149" s="1172">
        <v>6000</v>
      </c>
      <c r="BH149" s="1172">
        <v>8000</v>
      </c>
      <c r="BI149" s="1172">
        <v>10000</v>
      </c>
      <c r="BJ149" s="1185" t="s">
        <v>1348</v>
      </c>
      <c r="BK149" s="1185"/>
      <c r="BL149" s="1185" t="s">
        <v>1333</v>
      </c>
      <c r="BM149" s="1185"/>
      <c r="BN149" s="1186"/>
      <c r="BO149" s="1185" t="s">
        <v>2340</v>
      </c>
      <c r="BP149" s="1185"/>
      <c r="BQ149" s="1185"/>
      <c r="BR149" s="1185"/>
      <c r="BS149" s="1185"/>
      <c r="BT149" s="1185"/>
      <c r="BU149" s="1185"/>
      <c r="BW149" s="1181"/>
    </row>
    <row r="150" spans="21:75">
      <c r="U150" s="1184"/>
      <c r="W150" s="1060" t="s">
        <v>89</v>
      </c>
      <c r="X150" s="1275">
        <v>0.09</v>
      </c>
      <c r="Y150" s="1204">
        <v>0.09</v>
      </c>
      <c r="Z150" s="1204">
        <v>0.12</v>
      </c>
      <c r="AA150" s="1204">
        <v>0.11</v>
      </c>
      <c r="AB150" s="1204">
        <v>0.09</v>
      </c>
      <c r="AC150" s="1204">
        <v>0.12</v>
      </c>
      <c r="AD150" s="1204">
        <v>0.09</v>
      </c>
      <c r="AE150" s="1204">
        <v>0.09</v>
      </c>
      <c r="AF150" s="1204">
        <v>0.05</v>
      </c>
      <c r="AG150" s="1204">
        <v>0.09</v>
      </c>
      <c r="AH150" s="1204">
        <v>7.0000000000000007E-2</v>
      </c>
      <c r="AI150" s="1204">
        <v>0.1</v>
      </c>
      <c r="AJ150" s="1204">
        <v>0.10388286535075528</v>
      </c>
      <c r="AK150" s="1181"/>
      <c r="AM150" s="1264"/>
      <c r="AN150" s="1184"/>
      <c r="AT150" s="1278" t="s">
        <v>2339</v>
      </c>
      <c r="AU150" s="1277" t="s">
        <v>2338</v>
      </c>
      <c r="AV150" s="1276"/>
      <c r="AW150" s="1181"/>
      <c r="AY150" s="1184"/>
      <c r="AZ150" s="1189">
        <v>291</v>
      </c>
      <c r="BA150" s="1185">
        <v>5</v>
      </c>
      <c r="BB150" s="1188">
        <v>4.09</v>
      </c>
      <c r="BC150" s="1187">
        <v>6.1</v>
      </c>
      <c r="BD150" s="1172">
        <v>4000</v>
      </c>
      <c r="BE150" s="1172">
        <v>5000</v>
      </c>
      <c r="BF150" s="1172">
        <v>6000</v>
      </c>
      <c r="BG150" s="1172">
        <v>8000</v>
      </c>
      <c r="BH150" s="1172">
        <v>12000</v>
      </c>
      <c r="BI150" s="1172">
        <v>16000</v>
      </c>
      <c r="BJ150" s="1185" t="s">
        <v>1348</v>
      </c>
      <c r="BK150" s="1185"/>
      <c r="BL150" s="1185" t="s">
        <v>1333</v>
      </c>
      <c r="BM150" s="1185"/>
      <c r="BN150" s="1186"/>
      <c r="BO150" s="1185" t="s">
        <v>2337</v>
      </c>
      <c r="BP150" s="1185"/>
      <c r="BQ150" s="1185"/>
      <c r="BR150" s="1185"/>
      <c r="BS150" s="1185"/>
      <c r="BT150" s="1185"/>
      <c r="BU150" s="1185"/>
      <c r="BW150" s="1181"/>
    </row>
    <row r="151" spans="21:75">
      <c r="U151" s="1184"/>
      <c r="W151" s="1060" t="s">
        <v>39</v>
      </c>
      <c r="X151" s="1275">
        <v>0.05</v>
      </c>
      <c r="Y151" s="1204">
        <v>0.05</v>
      </c>
      <c r="Z151" s="1204">
        <v>0.1</v>
      </c>
      <c r="AA151" s="1204">
        <v>0.09</v>
      </c>
      <c r="AB151" s="1204">
        <v>0.06</v>
      </c>
      <c r="AC151" s="1204">
        <v>0.1</v>
      </c>
      <c r="AD151" s="1204">
        <v>0.09</v>
      </c>
      <c r="AE151" s="1204">
        <v>0.09</v>
      </c>
      <c r="AF151" s="1204">
        <v>7.0000000000000007E-2</v>
      </c>
      <c r="AG151" s="1204">
        <v>0.09</v>
      </c>
      <c r="AH151" s="1204">
        <v>0.09</v>
      </c>
      <c r="AI151" s="1204">
        <v>0.12</v>
      </c>
      <c r="AJ151" s="1204">
        <v>0.13295029808791278</v>
      </c>
      <c r="AK151" s="1181"/>
      <c r="AM151" s="1264"/>
      <c r="AN151" s="1184"/>
      <c r="AT151" s="1278" t="s">
        <v>2336</v>
      </c>
      <c r="AU151" s="1277" t="s">
        <v>2335</v>
      </c>
      <c r="AV151" s="1276"/>
      <c r="AW151" s="1181"/>
      <c r="AY151" s="1184"/>
      <c r="AZ151" s="1189">
        <v>292</v>
      </c>
      <c r="BA151" s="1185">
        <v>5</v>
      </c>
      <c r="BB151" s="1188">
        <v>4.09</v>
      </c>
      <c r="BC151" s="1187">
        <v>6.1</v>
      </c>
      <c r="BD151" s="1172">
        <v>4000</v>
      </c>
      <c r="BE151" s="1172">
        <v>5000</v>
      </c>
      <c r="BF151" s="1172">
        <v>6000</v>
      </c>
      <c r="BG151" s="1172">
        <v>8000</v>
      </c>
      <c r="BH151" s="1172">
        <v>12000</v>
      </c>
      <c r="BI151" s="1172">
        <v>16000</v>
      </c>
      <c r="BJ151" s="1185" t="s">
        <v>1348</v>
      </c>
      <c r="BK151" s="1185"/>
      <c r="BL151" s="1185" t="s">
        <v>1333</v>
      </c>
      <c r="BM151" s="1185"/>
      <c r="BN151" s="1186"/>
      <c r="BO151" s="1185" t="s">
        <v>2334</v>
      </c>
      <c r="BP151" s="1185"/>
      <c r="BQ151" s="1185"/>
      <c r="BR151" s="1185"/>
      <c r="BS151" s="1185"/>
      <c r="BT151" s="1185"/>
      <c r="BU151" s="1185"/>
      <c r="BW151" s="1181"/>
    </row>
    <row r="152" spans="21:75">
      <c r="U152" s="1184"/>
      <c r="W152" s="1060" t="s">
        <v>90</v>
      </c>
      <c r="X152" s="1275">
        <v>0</v>
      </c>
      <c r="Y152" s="1204">
        <v>0</v>
      </c>
      <c r="Z152" s="1204">
        <v>0.06</v>
      </c>
      <c r="AA152" s="1204">
        <v>0.06</v>
      </c>
      <c r="AB152" s="1204">
        <v>0.02</v>
      </c>
      <c r="AC152" s="1204">
        <v>0.09</v>
      </c>
      <c r="AD152" s="1204">
        <v>0.06</v>
      </c>
      <c r="AE152" s="1204">
        <v>0.1</v>
      </c>
      <c r="AF152" s="1204">
        <v>0.09</v>
      </c>
      <c r="AG152" s="1204">
        <v>7.0000000000000007E-2</v>
      </c>
      <c r="AH152" s="1204">
        <v>0.08</v>
      </c>
      <c r="AI152" s="1204">
        <v>0.13</v>
      </c>
      <c r="AJ152" s="1204">
        <v>0.11765977821023693</v>
      </c>
      <c r="AK152" s="1181"/>
      <c r="AM152" s="1264"/>
      <c r="AN152" s="1184"/>
      <c r="AT152" s="1278" t="s">
        <v>2333</v>
      </c>
      <c r="AU152" s="1277" t="s">
        <v>2332</v>
      </c>
      <c r="AV152" s="1276"/>
      <c r="AW152" s="1181"/>
      <c r="AY152" s="1184"/>
      <c r="AZ152" s="1189">
        <v>300</v>
      </c>
      <c r="BA152" s="1185">
        <v>5</v>
      </c>
      <c r="BB152" s="1188">
        <v>4.74</v>
      </c>
      <c r="BC152" s="1187">
        <v>6.9</v>
      </c>
      <c r="BD152" s="1172">
        <v>4000</v>
      </c>
      <c r="BE152" s="1172">
        <v>5000</v>
      </c>
      <c r="BF152" s="1172">
        <v>6000</v>
      </c>
      <c r="BG152" s="1172">
        <v>8000</v>
      </c>
      <c r="BH152" s="1172">
        <v>12000</v>
      </c>
      <c r="BI152" s="1172">
        <v>16000</v>
      </c>
      <c r="BJ152" s="1185" t="s">
        <v>1348</v>
      </c>
      <c r="BK152" s="1185"/>
      <c r="BL152" s="1185" t="s">
        <v>1333</v>
      </c>
      <c r="BM152" s="1185"/>
      <c r="BN152" s="1186"/>
      <c r="BO152" s="1185" t="s">
        <v>2331</v>
      </c>
      <c r="BP152" s="1185"/>
      <c r="BQ152" s="1185"/>
      <c r="BR152" s="1185"/>
      <c r="BS152" s="1185"/>
      <c r="BT152" s="1185"/>
      <c r="BU152" s="1185"/>
      <c r="BW152" s="1181"/>
    </row>
    <row r="153" spans="21:75">
      <c r="U153" s="1184"/>
      <c r="W153" s="1060" t="s">
        <v>91</v>
      </c>
      <c r="X153" s="1275">
        <v>0</v>
      </c>
      <c r="Y153" s="1204">
        <v>0</v>
      </c>
      <c r="Z153" s="1204">
        <v>0</v>
      </c>
      <c r="AA153" s="1204">
        <v>0.08</v>
      </c>
      <c r="AB153" s="1204">
        <v>0.08</v>
      </c>
      <c r="AC153" s="1204">
        <v>0.09</v>
      </c>
      <c r="AD153" s="1204">
        <v>0.05</v>
      </c>
      <c r="AE153" s="1204">
        <v>0.1</v>
      </c>
      <c r="AF153" s="1204">
        <v>0.11</v>
      </c>
      <c r="AG153" s="1204">
        <v>7.0000000000000007E-2</v>
      </c>
      <c r="AH153" s="1204">
        <v>0.08</v>
      </c>
      <c r="AI153" s="1204">
        <v>0.15</v>
      </c>
      <c r="AJ153" s="1204">
        <v>0.18768727025607759</v>
      </c>
      <c r="AK153" s="1181"/>
      <c r="AM153" s="1264"/>
      <c r="AN153" s="1184"/>
      <c r="AW153" s="1181"/>
      <c r="AY153" s="1184"/>
      <c r="AZ153" s="1189">
        <v>301</v>
      </c>
      <c r="BA153" s="1185">
        <v>0</v>
      </c>
      <c r="BB153" s="1188">
        <v>4.74</v>
      </c>
      <c r="BC153" s="1187">
        <v>6.9</v>
      </c>
      <c r="BD153" s="1172">
        <v>0</v>
      </c>
      <c r="BE153" s="1172">
        <v>0</v>
      </c>
      <c r="BF153" s="1172">
        <v>0</v>
      </c>
      <c r="BG153" s="1172">
        <v>0</v>
      </c>
      <c r="BH153" s="1172">
        <v>0</v>
      </c>
      <c r="BI153" s="1172">
        <v>0</v>
      </c>
      <c r="BJ153" s="1185" t="s">
        <v>1348</v>
      </c>
      <c r="BK153" s="1185"/>
      <c r="BL153" s="1185" t="s">
        <v>1333</v>
      </c>
      <c r="BM153" s="1185"/>
      <c r="BN153" s="1186"/>
      <c r="BO153" s="1185" t="s">
        <v>2330</v>
      </c>
      <c r="BP153" s="1185"/>
      <c r="BQ153" s="1185"/>
      <c r="BR153" s="1185"/>
      <c r="BS153" s="1185"/>
      <c r="BT153" s="1185"/>
      <c r="BU153" s="1185"/>
      <c r="BW153" s="1181"/>
    </row>
    <row r="154" spans="21:75">
      <c r="U154" s="1184"/>
      <c r="W154" s="1060" t="s">
        <v>92</v>
      </c>
      <c r="X154" s="1275">
        <v>0</v>
      </c>
      <c r="Y154" s="1204">
        <v>0</v>
      </c>
      <c r="Z154" s="1204">
        <v>0</v>
      </c>
      <c r="AA154" s="1204">
        <v>0.08</v>
      </c>
      <c r="AB154" s="1204">
        <v>0.1</v>
      </c>
      <c r="AC154" s="1204">
        <v>0.04</v>
      </c>
      <c r="AD154" s="1204">
        <v>0.04</v>
      </c>
      <c r="AE154" s="1204">
        <v>0.1</v>
      </c>
      <c r="AF154" s="1204">
        <v>0.14000000000000001</v>
      </c>
      <c r="AG154" s="1204">
        <v>7.0000000000000007E-2</v>
      </c>
      <c r="AH154" s="1204">
        <v>0.14000000000000001</v>
      </c>
      <c r="AI154" s="1204">
        <v>0.09</v>
      </c>
      <c r="AJ154" s="1204">
        <v>0.13659531090723753</v>
      </c>
      <c r="AK154" s="1181"/>
      <c r="AM154" s="1264"/>
      <c r="AN154" s="1184"/>
      <c r="AW154" s="1181"/>
      <c r="AY154" s="1184"/>
      <c r="AZ154" s="1189">
        <v>305</v>
      </c>
      <c r="BA154" s="1185">
        <v>5</v>
      </c>
      <c r="BB154" s="1188">
        <v>10.73</v>
      </c>
      <c r="BC154" s="1187">
        <v>6</v>
      </c>
      <c r="BD154" s="1172">
        <v>4000</v>
      </c>
      <c r="BE154" s="1172">
        <v>5000</v>
      </c>
      <c r="BF154" s="1172">
        <v>6000</v>
      </c>
      <c r="BG154" s="1172">
        <v>8000</v>
      </c>
      <c r="BH154" s="1172">
        <v>12000</v>
      </c>
      <c r="BI154" s="1172">
        <v>16000</v>
      </c>
      <c r="BJ154" s="1185" t="s">
        <v>1348</v>
      </c>
      <c r="BK154" s="1185"/>
      <c r="BL154" s="1185" t="s">
        <v>1333</v>
      </c>
      <c r="BM154" s="1185"/>
      <c r="BN154" s="1186"/>
      <c r="BO154" s="1185" t="s">
        <v>2329</v>
      </c>
      <c r="BP154" s="1185"/>
      <c r="BQ154" s="1185"/>
      <c r="BR154" s="1185"/>
      <c r="BS154" s="1185"/>
      <c r="BT154" s="1185"/>
      <c r="BU154" s="1185"/>
      <c r="BW154" s="1181"/>
    </row>
    <row r="155" spans="21:75">
      <c r="U155" s="1184"/>
      <c r="W155" s="1060" t="s">
        <v>93</v>
      </c>
      <c r="X155" s="1275">
        <v>0</v>
      </c>
      <c r="Y155" s="1204">
        <v>0</v>
      </c>
      <c r="Z155" s="1204">
        <v>0</v>
      </c>
      <c r="AA155" s="1204">
        <v>0.09</v>
      </c>
      <c r="AB155" s="1204">
        <v>0.1</v>
      </c>
      <c r="AC155" s="1204">
        <v>0.03</v>
      </c>
      <c r="AD155" s="1204">
        <v>0.08</v>
      </c>
      <c r="AE155" s="1204">
        <v>7.0000000000000007E-2</v>
      </c>
      <c r="AF155" s="1204">
        <v>0.15</v>
      </c>
      <c r="AG155" s="1204">
        <v>0.1</v>
      </c>
      <c r="AH155" s="1204">
        <v>0.14000000000000001</v>
      </c>
      <c r="AI155" s="1204">
        <v>7.0000000000000007E-2</v>
      </c>
      <c r="AJ155" s="1204">
        <v>8.3989744540203262E-2</v>
      </c>
      <c r="AK155" s="1181"/>
      <c r="AM155" s="1264"/>
      <c r="AN155" s="1184"/>
      <c r="AW155" s="1181"/>
      <c r="AY155" s="1184"/>
      <c r="AZ155" s="1189">
        <v>310</v>
      </c>
      <c r="BA155" s="1172">
        <v>1</v>
      </c>
      <c r="BB155" s="1188">
        <v>4.55</v>
      </c>
      <c r="BC155" s="1187">
        <v>7.3</v>
      </c>
      <c r="BD155" s="1172">
        <v>800</v>
      </c>
      <c r="BE155" s="1172">
        <v>1400</v>
      </c>
      <c r="BF155" s="1172">
        <v>2000</v>
      </c>
      <c r="BG155" s="1172">
        <v>2000</v>
      </c>
      <c r="BH155" s="1172">
        <v>3500</v>
      </c>
      <c r="BI155" s="1172">
        <v>4500</v>
      </c>
      <c r="BJ155" s="1185" t="s">
        <v>1894</v>
      </c>
      <c r="BK155" s="1185"/>
      <c r="BL155" s="1185" t="s">
        <v>2327</v>
      </c>
      <c r="BM155" s="1185"/>
      <c r="BN155" s="1186"/>
      <c r="BO155" s="1185" t="s">
        <v>2328</v>
      </c>
      <c r="BP155" s="1172"/>
      <c r="BQ155" s="1185"/>
      <c r="BR155" s="1185"/>
      <c r="BS155" s="1185"/>
      <c r="BT155" s="1185"/>
      <c r="BU155" s="1185"/>
      <c r="BW155" s="1181"/>
    </row>
    <row r="156" spans="21:75">
      <c r="U156" s="1184"/>
      <c r="W156" s="1060" t="s">
        <v>94</v>
      </c>
      <c r="X156" s="1275">
        <v>0.03</v>
      </c>
      <c r="Y156" s="1204">
        <v>0.03</v>
      </c>
      <c r="Z156" s="1204">
        <v>0.06</v>
      </c>
      <c r="AA156" s="1204">
        <v>0.03</v>
      </c>
      <c r="AB156" s="1204">
        <v>0.11</v>
      </c>
      <c r="AC156" s="1204">
        <v>0.04</v>
      </c>
      <c r="AD156" s="1204">
        <v>0.09</v>
      </c>
      <c r="AE156" s="1204">
        <v>7.0000000000000007E-2</v>
      </c>
      <c r="AF156" s="1204">
        <v>0.11</v>
      </c>
      <c r="AG156" s="1204">
        <v>0.1</v>
      </c>
      <c r="AH156" s="1204">
        <v>0.13</v>
      </c>
      <c r="AI156" s="1204">
        <v>0.06</v>
      </c>
      <c r="AJ156" s="1204">
        <v>6.9965712167547045E-2</v>
      </c>
      <c r="AK156" s="1181"/>
      <c r="AM156" s="1264"/>
      <c r="AN156" s="1184"/>
      <c r="AW156" s="1181"/>
      <c r="AY156" s="1184"/>
      <c r="AZ156" s="1189">
        <v>311</v>
      </c>
      <c r="BA156" s="1172">
        <v>1</v>
      </c>
      <c r="BB156" s="1188">
        <v>4.55</v>
      </c>
      <c r="BC156" s="1187">
        <v>7.3</v>
      </c>
      <c r="BD156" s="1172">
        <v>800</v>
      </c>
      <c r="BE156" s="1172">
        <v>1400</v>
      </c>
      <c r="BF156" s="1172">
        <v>2000</v>
      </c>
      <c r="BG156" s="1172">
        <v>2000</v>
      </c>
      <c r="BH156" s="1172">
        <v>3500</v>
      </c>
      <c r="BI156" s="1172">
        <v>4500</v>
      </c>
      <c r="BJ156" s="1185" t="s">
        <v>1894</v>
      </c>
      <c r="BK156" s="1185"/>
      <c r="BL156" s="1185" t="s">
        <v>2327</v>
      </c>
      <c r="BM156" s="1185"/>
      <c r="BN156" s="1186"/>
      <c r="BO156" s="1185" t="s">
        <v>2326</v>
      </c>
      <c r="BP156" s="1172"/>
      <c r="BQ156" s="1185"/>
      <c r="BR156" s="1185"/>
      <c r="BS156" s="1185"/>
      <c r="BT156" s="1185"/>
      <c r="BU156" s="1185"/>
      <c r="BW156" s="1181"/>
    </row>
    <row r="157" spans="21:75">
      <c r="U157" s="1184"/>
      <c r="W157" s="1060" t="s">
        <v>95</v>
      </c>
      <c r="X157" s="1275">
        <v>7.0000000000000007E-2</v>
      </c>
      <c r="Y157" s="1204">
        <v>7.0000000000000007E-2</v>
      </c>
      <c r="Z157" s="1204">
        <v>0.12</v>
      </c>
      <c r="AA157" s="1204">
        <v>0.08</v>
      </c>
      <c r="AB157" s="1204">
        <v>0.12</v>
      </c>
      <c r="AC157" s="1204">
        <v>0.1</v>
      </c>
      <c r="AD157" s="1204">
        <v>0.11</v>
      </c>
      <c r="AE157" s="1204">
        <v>7.0000000000000007E-2</v>
      </c>
      <c r="AF157" s="1204">
        <v>0.09</v>
      </c>
      <c r="AG157" s="1204">
        <v>0.1</v>
      </c>
      <c r="AH157" s="1204">
        <v>0.05</v>
      </c>
      <c r="AI157" s="1204">
        <v>0.06</v>
      </c>
      <c r="AJ157" s="1204">
        <v>2.4248602230253612E-2</v>
      </c>
      <c r="AK157" s="1181"/>
      <c r="AM157" s="1264"/>
      <c r="AN157" s="1184"/>
      <c r="AW157" s="1181"/>
      <c r="AY157" s="1184"/>
      <c r="AZ157" s="1189">
        <v>312</v>
      </c>
      <c r="BA157" s="1172">
        <v>2</v>
      </c>
      <c r="BB157" s="1188">
        <v>0</v>
      </c>
      <c r="BC157" s="1187">
        <v>7</v>
      </c>
      <c r="BD157" s="1172">
        <v>2000</v>
      </c>
      <c r="BE157" s="1172">
        <v>3000</v>
      </c>
      <c r="BF157" s="1172">
        <v>4000</v>
      </c>
      <c r="BG157" s="1172">
        <v>5000</v>
      </c>
      <c r="BH157" s="1172">
        <v>6500</v>
      </c>
      <c r="BI157" s="1172">
        <v>8000</v>
      </c>
      <c r="BJ157" s="1185"/>
      <c r="BK157" s="1185"/>
      <c r="BL157" s="1185"/>
      <c r="BM157" s="1185"/>
      <c r="BN157" s="1186">
        <v>0.6</v>
      </c>
      <c r="BO157" s="1185" t="s">
        <v>2325</v>
      </c>
      <c r="BP157" s="1185"/>
      <c r="BQ157" s="1185"/>
      <c r="BR157" s="1185"/>
      <c r="BS157" s="1185"/>
      <c r="BT157" s="1185"/>
      <c r="BU157" s="1185"/>
      <c r="BW157" s="1181"/>
    </row>
    <row r="158" spans="21:75">
      <c r="U158" s="1184"/>
      <c r="W158" s="1060" t="s">
        <v>96</v>
      </c>
      <c r="X158" s="1274">
        <v>0.18</v>
      </c>
      <c r="Y158" s="1273">
        <v>0.18</v>
      </c>
      <c r="Z158" s="1273">
        <v>0.14000000000000001</v>
      </c>
      <c r="AA158" s="1273">
        <v>0.09</v>
      </c>
      <c r="AB158" s="1273">
        <v>0.1</v>
      </c>
      <c r="AC158" s="1273">
        <v>0.09</v>
      </c>
      <c r="AD158" s="1273">
        <v>0.12</v>
      </c>
      <c r="AE158" s="1273">
        <v>7.0000000000000007E-2</v>
      </c>
      <c r="AF158" s="1273">
        <v>0.05</v>
      </c>
      <c r="AG158" s="1273">
        <v>0.08</v>
      </c>
      <c r="AH158" s="1273">
        <v>0.05</v>
      </c>
      <c r="AI158" s="1273">
        <v>0.06</v>
      </c>
      <c r="AJ158" s="1273">
        <v>1.6217218052080439E-2</v>
      </c>
      <c r="AK158" s="1173"/>
      <c r="AM158" s="1264"/>
      <c r="AN158" s="1184"/>
      <c r="AW158" s="1181"/>
      <c r="AY158" s="1184"/>
      <c r="AZ158" s="1189">
        <v>316</v>
      </c>
      <c r="BA158" s="1172">
        <v>1</v>
      </c>
      <c r="BB158" s="1188"/>
      <c r="BC158" s="1187"/>
      <c r="BD158" s="1172">
        <v>800</v>
      </c>
      <c r="BE158" s="1172">
        <v>1400</v>
      </c>
      <c r="BF158" s="1172">
        <v>2000</v>
      </c>
      <c r="BG158" s="1172">
        <v>2000</v>
      </c>
      <c r="BH158" s="1172">
        <v>3500</v>
      </c>
      <c r="BI158" s="1172">
        <v>4500</v>
      </c>
      <c r="BJ158" s="1185"/>
      <c r="BK158" s="1185"/>
      <c r="BL158" s="1185"/>
      <c r="BM158" s="1185"/>
      <c r="BN158" s="1186">
        <v>0.7</v>
      </c>
      <c r="BO158" s="1185" t="s">
        <v>2324</v>
      </c>
      <c r="BP158" s="1172"/>
      <c r="BQ158" s="1185"/>
      <c r="BR158" s="1185"/>
      <c r="BS158" s="1185"/>
      <c r="BT158" s="1185"/>
      <c r="BU158" s="1185"/>
      <c r="BW158" s="1181"/>
    </row>
    <row r="159" spans="21:75">
      <c r="U159" s="1184"/>
      <c r="W159" s="1206" t="s">
        <v>76</v>
      </c>
      <c r="X159" s="1204">
        <f>SUM(X147:X158)</f>
        <v>1</v>
      </c>
      <c r="Y159" s="1204">
        <f t="shared" ref="Y159:AJ159" si="31">SUM(Y147:Y158)</f>
        <v>1</v>
      </c>
      <c r="Z159" s="1204">
        <f t="shared" si="31"/>
        <v>1</v>
      </c>
      <c r="AA159" s="1204">
        <f t="shared" si="31"/>
        <v>0.99999999999999989</v>
      </c>
      <c r="AB159" s="1204">
        <f t="shared" si="31"/>
        <v>1</v>
      </c>
      <c r="AC159" s="1204">
        <f t="shared" si="31"/>
        <v>1</v>
      </c>
      <c r="AD159" s="1204">
        <f t="shared" si="31"/>
        <v>1</v>
      </c>
      <c r="AE159" s="1204">
        <f t="shared" si="31"/>
        <v>1.0000000000000002</v>
      </c>
      <c r="AF159" s="1204">
        <f t="shared" si="31"/>
        <v>1</v>
      </c>
      <c r="AG159" s="1204">
        <f t="shared" si="31"/>
        <v>1</v>
      </c>
      <c r="AH159" s="1204">
        <f t="shared" si="31"/>
        <v>1.0000000000000002</v>
      </c>
      <c r="AI159" s="1204">
        <f t="shared" si="31"/>
        <v>1.0000000000000002</v>
      </c>
      <c r="AJ159" s="1204">
        <f t="shared" si="31"/>
        <v>1</v>
      </c>
      <c r="AK159" s="1060">
        <v>0</v>
      </c>
      <c r="AM159" s="1264"/>
      <c r="AN159" s="1184"/>
      <c r="AW159" s="1181"/>
      <c r="AY159" s="1184"/>
      <c r="AZ159" s="1189">
        <v>317</v>
      </c>
      <c r="BA159" s="1172">
        <v>2</v>
      </c>
      <c r="BB159" s="1188">
        <v>8</v>
      </c>
      <c r="BC159" s="1187">
        <v>6.5</v>
      </c>
      <c r="BD159" s="1172">
        <v>2000</v>
      </c>
      <c r="BE159" s="1172">
        <v>3000</v>
      </c>
      <c r="BF159" s="1172">
        <v>4000</v>
      </c>
      <c r="BG159" s="1172">
        <v>5000</v>
      </c>
      <c r="BH159" s="1172">
        <v>6500</v>
      </c>
      <c r="BI159" s="1172">
        <v>8000</v>
      </c>
      <c r="BJ159" s="1185" t="s">
        <v>1894</v>
      </c>
      <c r="BK159" s="1185"/>
      <c r="BL159" s="1185" t="s">
        <v>1329</v>
      </c>
      <c r="BM159" s="1185"/>
      <c r="BN159" s="1186">
        <v>0.4</v>
      </c>
      <c r="BO159" s="1185" t="s">
        <v>2323</v>
      </c>
      <c r="BP159" s="1185"/>
      <c r="BQ159" s="1185"/>
      <c r="BR159" s="1185"/>
      <c r="BS159" s="1185"/>
      <c r="BT159" s="1185"/>
      <c r="BU159" s="1185"/>
      <c r="BW159" s="1181"/>
    </row>
    <row r="160" spans="21:75">
      <c r="U160" s="1184"/>
      <c r="AM160" s="1264"/>
      <c r="AN160" s="1184"/>
      <c r="AW160" s="1181"/>
      <c r="AY160" s="1184"/>
      <c r="AZ160" s="1189">
        <v>330</v>
      </c>
      <c r="BA160" s="1172">
        <v>2</v>
      </c>
      <c r="BB160" s="1188">
        <v>17.47</v>
      </c>
      <c r="BC160" s="1187">
        <v>6.9</v>
      </c>
      <c r="BD160" s="1172">
        <v>2000</v>
      </c>
      <c r="BE160" s="1172">
        <v>3000</v>
      </c>
      <c r="BF160" s="1172">
        <v>4000</v>
      </c>
      <c r="BG160" s="1172">
        <v>5000</v>
      </c>
      <c r="BH160" s="1172">
        <v>6500</v>
      </c>
      <c r="BI160" s="1172">
        <v>8000</v>
      </c>
      <c r="BJ160" s="1185" t="s">
        <v>1348</v>
      </c>
      <c r="BK160" s="1185"/>
      <c r="BL160" s="1185" t="s">
        <v>1333</v>
      </c>
      <c r="BM160" s="1185"/>
      <c r="BN160" s="1186">
        <v>0.4</v>
      </c>
      <c r="BO160" s="1185" t="s">
        <v>2322</v>
      </c>
      <c r="BP160" s="1185"/>
      <c r="BQ160" s="1185"/>
      <c r="BR160" s="1185"/>
      <c r="BS160" s="1185"/>
      <c r="BT160" s="1185"/>
      <c r="BU160" s="1185"/>
      <c r="BW160" s="1181"/>
    </row>
    <row r="161" spans="21:75">
      <c r="U161" s="1184"/>
      <c r="AW161" s="1181"/>
      <c r="AY161" s="1184"/>
      <c r="AZ161" s="1189">
        <v>331</v>
      </c>
      <c r="BA161" s="1172">
        <v>2</v>
      </c>
      <c r="BB161" s="1188">
        <v>17.47</v>
      </c>
      <c r="BC161" s="1187">
        <v>6.9</v>
      </c>
      <c r="BD161" s="1172">
        <v>2000</v>
      </c>
      <c r="BE161" s="1172">
        <v>3000</v>
      </c>
      <c r="BF161" s="1172">
        <v>4000</v>
      </c>
      <c r="BG161" s="1172">
        <v>5000</v>
      </c>
      <c r="BH161" s="1172">
        <v>6500</v>
      </c>
      <c r="BI161" s="1172">
        <v>8000</v>
      </c>
      <c r="BJ161" s="1185" t="s">
        <v>1348</v>
      </c>
      <c r="BK161" s="1185"/>
      <c r="BL161" s="1185" t="s">
        <v>1333</v>
      </c>
      <c r="BM161" s="1185"/>
      <c r="BN161" s="1186">
        <v>0.4</v>
      </c>
      <c r="BO161" s="1185" t="s">
        <v>2321</v>
      </c>
      <c r="BP161" s="1185"/>
      <c r="BQ161" s="1185"/>
      <c r="BR161" s="1185"/>
      <c r="BS161" s="1185"/>
      <c r="BT161" s="1185"/>
      <c r="BU161" s="1185"/>
      <c r="BW161" s="1181"/>
    </row>
    <row r="162" spans="21:75">
      <c r="U162" s="1184"/>
      <c r="W162" s="1060" t="s">
        <v>2320</v>
      </c>
      <c r="AW162" s="1181"/>
      <c r="AY162" s="1184"/>
      <c r="AZ162" s="1189">
        <v>332</v>
      </c>
      <c r="BA162" s="1172">
        <v>2</v>
      </c>
      <c r="BB162" s="1188"/>
      <c r="BC162" s="1187"/>
      <c r="BD162" s="1172">
        <v>2000</v>
      </c>
      <c r="BE162" s="1172">
        <v>3000</v>
      </c>
      <c r="BF162" s="1172">
        <v>4000</v>
      </c>
      <c r="BG162" s="1172">
        <v>5000</v>
      </c>
      <c r="BH162" s="1172">
        <v>6500</v>
      </c>
      <c r="BI162" s="1172">
        <v>8000</v>
      </c>
      <c r="BJ162" s="1185"/>
      <c r="BK162" s="1185"/>
      <c r="BL162" s="1185"/>
      <c r="BM162" s="1185"/>
      <c r="BN162" s="1186">
        <v>0.7</v>
      </c>
      <c r="BO162" s="1185" t="s">
        <v>2319</v>
      </c>
      <c r="BP162" s="1185"/>
      <c r="BQ162" s="1185"/>
      <c r="BR162" s="1185"/>
      <c r="BS162" s="1185"/>
      <c r="BT162" s="1185"/>
      <c r="BU162" s="1185"/>
      <c r="BW162" s="1181"/>
    </row>
    <row r="163" spans="21:75">
      <c r="U163" s="1184"/>
      <c r="X163" s="1272" t="s">
        <v>749</v>
      </c>
      <c r="AP163" s="1060" t="s">
        <v>1241</v>
      </c>
      <c r="AW163" s="1181"/>
      <c r="AY163" s="1184"/>
      <c r="AZ163" s="1189">
        <v>333</v>
      </c>
      <c r="BA163" s="1172">
        <v>2</v>
      </c>
      <c r="BB163" s="1188">
        <v>2.72</v>
      </c>
      <c r="BC163" s="1187">
        <v>6.8</v>
      </c>
      <c r="BD163" s="1172">
        <v>2000</v>
      </c>
      <c r="BE163" s="1172">
        <v>3000</v>
      </c>
      <c r="BF163" s="1172">
        <v>4000</v>
      </c>
      <c r="BG163" s="1172">
        <v>5000</v>
      </c>
      <c r="BH163" s="1172">
        <v>6500</v>
      </c>
      <c r="BI163" s="1172">
        <v>8000</v>
      </c>
      <c r="BJ163" s="1185" t="s">
        <v>1348</v>
      </c>
      <c r="BK163" s="1185"/>
      <c r="BL163" s="1185" t="s">
        <v>1333</v>
      </c>
      <c r="BM163" s="1185"/>
      <c r="BN163" s="1186"/>
      <c r="BO163" s="1185" t="s">
        <v>2318</v>
      </c>
      <c r="BP163" s="1185"/>
      <c r="BQ163" s="1185"/>
      <c r="BR163" s="1185"/>
      <c r="BS163" s="1185"/>
      <c r="BT163" s="1185"/>
      <c r="BU163" s="1185"/>
      <c r="BW163" s="1181"/>
    </row>
    <row r="164" spans="21:75">
      <c r="U164" s="1184"/>
      <c r="W164" s="1181" t="s">
        <v>449</v>
      </c>
      <c r="X164" s="1060">
        <v>1</v>
      </c>
      <c r="Y164" s="1060">
        <v>2</v>
      </c>
      <c r="Z164" s="1060">
        <v>3</v>
      </c>
      <c r="AA164" s="1060">
        <v>4</v>
      </c>
      <c r="AB164" s="1060">
        <v>5</v>
      </c>
      <c r="AC164" s="1060">
        <v>6</v>
      </c>
      <c r="AD164" s="1060">
        <v>7</v>
      </c>
      <c r="AE164" s="1060">
        <v>8</v>
      </c>
      <c r="AF164" s="1060">
        <v>9</v>
      </c>
      <c r="AG164" s="1060">
        <v>10</v>
      </c>
      <c r="AH164" s="1060">
        <v>11</v>
      </c>
      <c r="AI164" s="1060">
        <v>12</v>
      </c>
      <c r="AJ164" s="1060">
        <v>13</v>
      </c>
      <c r="AK164" s="1060">
        <v>14</v>
      </c>
      <c r="AL164" s="1060">
        <v>15</v>
      </c>
      <c r="AM164" s="1060">
        <v>16</v>
      </c>
      <c r="AN164" s="1060">
        <v>17</v>
      </c>
      <c r="AP164" s="1271" t="s">
        <v>749</v>
      </c>
      <c r="AQ164" s="1270" t="s">
        <v>2317</v>
      </c>
      <c r="AR164" s="1174"/>
      <c r="AW164" s="1181"/>
      <c r="AY164" s="1184"/>
      <c r="AZ164" s="1189">
        <v>334</v>
      </c>
      <c r="BA164" s="1172">
        <v>2</v>
      </c>
      <c r="BB164" s="1188">
        <v>2.72</v>
      </c>
      <c r="BC164" s="1187">
        <v>6.8</v>
      </c>
      <c r="BD164" s="1172">
        <v>2000</v>
      </c>
      <c r="BE164" s="1172">
        <v>3000</v>
      </c>
      <c r="BF164" s="1172">
        <v>4000</v>
      </c>
      <c r="BG164" s="1172">
        <v>5000</v>
      </c>
      <c r="BH164" s="1172">
        <v>6500</v>
      </c>
      <c r="BI164" s="1172">
        <v>8000</v>
      </c>
      <c r="BJ164" s="1185" t="s">
        <v>1348</v>
      </c>
      <c r="BK164" s="1185"/>
      <c r="BL164" s="1185" t="s">
        <v>1333</v>
      </c>
      <c r="BM164" s="1185"/>
      <c r="BN164" s="1186"/>
      <c r="BO164" s="1185" t="s">
        <v>2316</v>
      </c>
      <c r="BP164" s="1185"/>
      <c r="BQ164" s="1185"/>
      <c r="BR164" s="1185"/>
      <c r="BS164" s="1185"/>
      <c r="BT164" s="1185"/>
      <c r="BU164" s="1185"/>
      <c r="BW164" s="1181"/>
    </row>
    <row r="165" spans="21:75">
      <c r="U165" s="1184"/>
      <c r="W165" s="1203" t="s">
        <v>276</v>
      </c>
      <c r="X165" s="1269">
        <v>0.2</v>
      </c>
      <c r="Y165" s="1267">
        <v>0.17</v>
      </c>
      <c r="Z165" s="1267">
        <v>0.1</v>
      </c>
      <c r="AA165" s="1267">
        <v>0.10646387832699619</v>
      </c>
      <c r="AB165" s="1268">
        <v>0.05</v>
      </c>
      <c r="AC165" s="1267">
        <v>0.05</v>
      </c>
      <c r="AD165" s="1267">
        <v>0.05</v>
      </c>
      <c r="AE165" s="1267">
        <v>0.1</v>
      </c>
      <c r="AF165" s="1267">
        <v>0.04</v>
      </c>
      <c r="AG165" s="1267">
        <v>0.06</v>
      </c>
      <c r="AH165" s="1267">
        <v>0.08</v>
      </c>
      <c r="AI165" s="1267">
        <v>0.08</v>
      </c>
      <c r="AJ165" s="1267">
        <v>0.08</v>
      </c>
      <c r="AK165" s="1267">
        <v>0.08</v>
      </c>
      <c r="AL165" s="1267">
        <v>0.08</v>
      </c>
      <c r="AM165" s="1267">
        <v>0.08</v>
      </c>
      <c r="AN165" s="1266">
        <v>0.08</v>
      </c>
      <c r="AP165" s="1265">
        <v>44776</v>
      </c>
      <c r="AQ165" s="1264" t="s">
        <v>2315</v>
      </c>
      <c r="AW165" s="1181"/>
      <c r="AY165" s="1184"/>
      <c r="AZ165" s="1189">
        <v>335</v>
      </c>
      <c r="BA165" s="1172">
        <v>2</v>
      </c>
      <c r="BB165" s="1188">
        <v>2.39</v>
      </c>
      <c r="BC165" s="1187">
        <v>7.7</v>
      </c>
      <c r="BD165" s="1172">
        <v>2000</v>
      </c>
      <c r="BE165" s="1172">
        <v>3000</v>
      </c>
      <c r="BF165" s="1172">
        <v>4000</v>
      </c>
      <c r="BG165" s="1172">
        <v>5000</v>
      </c>
      <c r="BH165" s="1172">
        <v>6500</v>
      </c>
      <c r="BI165" s="1172">
        <v>8000</v>
      </c>
      <c r="BJ165" s="1185" t="s">
        <v>1348</v>
      </c>
      <c r="BK165" s="1185"/>
      <c r="BL165" s="1185" t="s">
        <v>1329</v>
      </c>
      <c r="BM165" s="1185"/>
      <c r="BN165" s="1186"/>
      <c r="BO165" s="1185" t="s">
        <v>2314</v>
      </c>
      <c r="BP165" s="1185"/>
      <c r="BQ165" s="1185"/>
      <c r="BR165" s="1185"/>
      <c r="BS165" s="1172"/>
      <c r="BT165" s="1185"/>
      <c r="BU165" s="1185"/>
      <c r="BW165" s="1181"/>
    </row>
    <row r="166" spans="21:75">
      <c r="U166" s="1184"/>
      <c r="W166" s="1060" t="s">
        <v>277</v>
      </c>
      <c r="X166" s="1262">
        <v>0.15</v>
      </c>
      <c r="Y166" s="1260">
        <v>0.12</v>
      </c>
      <c r="Z166" s="1260">
        <v>0.1</v>
      </c>
      <c r="AA166" s="1260">
        <v>9.8859315589353611E-2</v>
      </c>
      <c r="AB166" s="1261">
        <v>0.05</v>
      </c>
      <c r="AC166" s="1260">
        <v>0.05</v>
      </c>
      <c r="AD166" s="1260">
        <v>0.05</v>
      </c>
      <c r="AE166" s="1260">
        <v>0.1</v>
      </c>
      <c r="AF166" s="1260">
        <v>0.04</v>
      </c>
      <c r="AG166" s="1260">
        <v>0.06</v>
      </c>
      <c r="AH166" s="1260">
        <v>0.02</v>
      </c>
      <c r="AI166" s="1260">
        <v>0.02</v>
      </c>
      <c r="AJ166" s="1260">
        <v>0.05</v>
      </c>
      <c r="AK166" s="1260">
        <v>0.08</v>
      </c>
      <c r="AL166" s="1260">
        <v>5.000000000000001E-2</v>
      </c>
      <c r="AM166" s="1260">
        <v>0.05</v>
      </c>
      <c r="AN166" s="1259">
        <v>0.05</v>
      </c>
      <c r="AP166" s="1263">
        <v>44783</v>
      </c>
      <c r="AQ166" s="1060" t="s">
        <v>2313</v>
      </c>
      <c r="AT166" s="1061"/>
      <c r="AW166" s="1181"/>
      <c r="AY166" s="1184"/>
      <c r="AZ166" s="1189">
        <v>336</v>
      </c>
      <c r="BA166" s="1172">
        <v>1</v>
      </c>
      <c r="BB166" s="1188">
        <v>4.63</v>
      </c>
      <c r="BC166" s="1187">
        <v>6.7</v>
      </c>
      <c r="BD166" s="1172">
        <v>800</v>
      </c>
      <c r="BE166" s="1172">
        <v>1400</v>
      </c>
      <c r="BF166" s="1172">
        <v>2000</v>
      </c>
      <c r="BG166" s="1172">
        <v>2000</v>
      </c>
      <c r="BH166" s="1172">
        <v>3500</v>
      </c>
      <c r="BI166" s="1172">
        <v>4500</v>
      </c>
      <c r="BJ166" s="1185" t="s">
        <v>1894</v>
      </c>
      <c r="BK166" s="1185"/>
      <c r="BL166" s="1185" t="s">
        <v>1329</v>
      </c>
      <c r="BM166" s="1185"/>
      <c r="BN166" s="1186"/>
      <c r="BO166" s="1185" t="s">
        <v>2312</v>
      </c>
      <c r="BP166" s="1172"/>
      <c r="BQ166" s="1185"/>
      <c r="BR166" s="1185"/>
      <c r="BS166" s="1185"/>
      <c r="BT166" s="1185"/>
      <c r="BU166" s="1185"/>
      <c r="BW166" s="1181"/>
    </row>
    <row r="167" spans="21:75">
      <c r="U167" s="1184"/>
      <c r="W167" s="1060" t="s">
        <v>88</v>
      </c>
      <c r="X167" s="1262">
        <v>0.18</v>
      </c>
      <c r="Y167" s="1260">
        <v>0.12</v>
      </c>
      <c r="Z167" s="1260">
        <v>0.02</v>
      </c>
      <c r="AA167" s="1260">
        <v>0.24099999999999999</v>
      </c>
      <c r="AB167" s="1261">
        <v>0.1</v>
      </c>
      <c r="AC167" s="1260">
        <v>0.06</v>
      </c>
      <c r="AD167" s="1260">
        <v>0.06</v>
      </c>
      <c r="AE167" s="1260">
        <v>0.12</v>
      </c>
      <c r="AF167" s="1260">
        <v>0.06</v>
      </c>
      <c r="AG167" s="1260">
        <v>0.08</v>
      </c>
      <c r="AH167" s="1260">
        <v>0.02</v>
      </c>
      <c r="AI167" s="1260">
        <v>0.02</v>
      </c>
      <c r="AJ167" s="1260">
        <v>0.12</v>
      </c>
      <c r="AK167" s="1260">
        <v>0.12</v>
      </c>
      <c r="AL167" s="1260">
        <v>8.666666666666667E-2</v>
      </c>
      <c r="AM167" s="1260">
        <v>0.12</v>
      </c>
      <c r="AN167" s="1259">
        <v>0.12</v>
      </c>
      <c r="AP167" s="1150"/>
      <c r="AQ167" s="1060" t="s">
        <v>2311</v>
      </c>
      <c r="AT167" s="1061"/>
      <c r="AW167" s="1181"/>
      <c r="AY167" s="1184"/>
      <c r="AZ167" s="1189">
        <v>337</v>
      </c>
      <c r="BA167" s="1172">
        <v>2</v>
      </c>
      <c r="BB167" s="1188">
        <v>2.39</v>
      </c>
      <c r="BC167" s="1187">
        <v>7.7</v>
      </c>
      <c r="BD167" s="1172">
        <v>2000</v>
      </c>
      <c r="BE167" s="1172">
        <v>3000</v>
      </c>
      <c r="BF167" s="1172">
        <v>4000</v>
      </c>
      <c r="BG167" s="1172">
        <v>5000</v>
      </c>
      <c r="BH167" s="1172">
        <v>6500</v>
      </c>
      <c r="BI167" s="1172">
        <v>8000</v>
      </c>
      <c r="BJ167" s="1185" t="s">
        <v>1348</v>
      </c>
      <c r="BK167" s="1185"/>
      <c r="BL167" s="1185" t="s">
        <v>1329</v>
      </c>
      <c r="BM167" s="1185"/>
      <c r="BN167" s="1186"/>
      <c r="BO167" s="1185" t="s">
        <v>2310</v>
      </c>
      <c r="BP167" s="1185"/>
      <c r="BQ167" s="1185"/>
      <c r="BR167" s="1185"/>
      <c r="BS167" s="1172"/>
      <c r="BT167" s="1185"/>
      <c r="BU167" s="1185"/>
      <c r="BW167" s="1181"/>
    </row>
    <row r="168" spans="21:75">
      <c r="U168" s="1184"/>
      <c r="W168" s="1060" t="s">
        <v>89</v>
      </c>
      <c r="X168" s="1262">
        <v>0.09</v>
      </c>
      <c r="Y168" s="1260">
        <v>0.09</v>
      </c>
      <c r="Z168" s="1260">
        <v>0.02</v>
      </c>
      <c r="AA168" s="1260">
        <v>0.13307984790874525</v>
      </c>
      <c r="AB168" s="1261">
        <v>0.09</v>
      </c>
      <c r="AC168" s="1260">
        <v>0.06</v>
      </c>
      <c r="AD168" s="1260">
        <v>0.06</v>
      </c>
      <c r="AE168" s="1260">
        <v>0.12</v>
      </c>
      <c r="AF168" s="1260">
        <v>0.05</v>
      </c>
      <c r="AG168" s="1260">
        <v>0.08</v>
      </c>
      <c r="AH168" s="1260">
        <v>7.0000000000000007E-2</v>
      </c>
      <c r="AI168" s="1260">
        <v>7.0000000000000007E-2</v>
      </c>
      <c r="AJ168" s="1260">
        <v>0.15</v>
      </c>
      <c r="AK168" s="1260">
        <v>0.13</v>
      </c>
      <c r="AL168" s="1260">
        <v>0.11666666666666665</v>
      </c>
      <c r="AM168" s="1260">
        <v>0.15</v>
      </c>
      <c r="AN168" s="1259">
        <v>0.15</v>
      </c>
      <c r="AP168" s="1150"/>
      <c r="AT168" s="1061"/>
      <c r="AW168" s="1181"/>
      <c r="AY168" s="1184"/>
      <c r="AZ168" s="1189">
        <v>340</v>
      </c>
      <c r="BA168" s="1172">
        <v>4</v>
      </c>
      <c r="BB168" s="1188">
        <v>7.29</v>
      </c>
      <c r="BC168" s="1187">
        <v>7.1</v>
      </c>
      <c r="BD168" s="1172">
        <v>2000</v>
      </c>
      <c r="BE168" s="1172">
        <v>2500</v>
      </c>
      <c r="BF168" s="1172">
        <v>3000</v>
      </c>
      <c r="BG168" s="1172">
        <v>4000</v>
      </c>
      <c r="BH168" s="1172">
        <v>5000</v>
      </c>
      <c r="BI168" s="1172">
        <v>6000</v>
      </c>
      <c r="BJ168" s="1185" t="s">
        <v>1348</v>
      </c>
      <c r="BK168" s="1185"/>
      <c r="BL168" s="1185" t="s">
        <v>1333</v>
      </c>
      <c r="BM168" s="1185"/>
      <c r="BN168" s="1186"/>
      <c r="BO168" s="1185" t="s">
        <v>2309</v>
      </c>
      <c r="BP168" s="1185"/>
      <c r="BQ168" s="1185"/>
      <c r="BR168" s="1185"/>
      <c r="BS168" s="1185"/>
      <c r="BT168" s="1185"/>
      <c r="BU168" s="1185"/>
      <c r="BW168" s="1181"/>
    </row>
    <row r="169" spans="21:75">
      <c r="U169" s="1184"/>
      <c r="W169" s="1060" t="s">
        <v>39</v>
      </c>
      <c r="X169" s="1262">
        <v>0.05</v>
      </c>
      <c r="Y169" s="1260">
        <v>0.05</v>
      </c>
      <c r="Z169" s="1260">
        <v>0.02</v>
      </c>
      <c r="AA169" s="1260">
        <v>7.6045627376425853E-2</v>
      </c>
      <c r="AB169" s="1261">
        <v>0.11</v>
      </c>
      <c r="AC169" s="1260">
        <v>0.1</v>
      </c>
      <c r="AD169" s="1260">
        <v>0.1</v>
      </c>
      <c r="AE169" s="1260">
        <v>0.08</v>
      </c>
      <c r="AF169" s="1260">
        <v>7.0000000000000007E-2</v>
      </c>
      <c r="AG169" s="1260">
        <v>0.08</v>
      </c>
      <c r="AH169" s="1260">
        <v>0.06</v>
      </c>
      <c r="AI169" s="1260">
        <v>0.06</v>
      </c>
      <c r="AJ169" s="1260">
        <v>0.12</v>
      </c>
      <c r="AK169" s="1260">
        <v>0.13</v>
      </c>
      <c r="AL169" s="1260">
        <v>0.10333333333333333</v>
      </c>
      <c r="AM169" s="1260">
        <v>0.12</v>
      </c>
      <c r="AN169" s="1259">
        <v>0.12</v>
      </c>
      <c r="AP169" s="1150"/>
      <c r="AT169" s="1061"/>
      <c r="AW169" s="1181"/>
      <c r="AY169" s="1184"/>
      <c r="AZ169" s="1189">
        <v>341</v>
      </c>
      <c r="BA169" s="1172">
        <v>4</v>
      </c>
      <c r="BB169" s="1188">
        <v>7.29</v>
      </c>
      <c r="BC169" s="1187">
        <v>7.1</v>
      </c>
      <c r="BD169" s="1172">
        <v>2000</v>
      </c>
      <c r="BE169" s="1172">
        <v>2500</v>
      </c>
      <c r="BF169" s="1172">
        <v>3000</v>
      </c>
      <c r="BG169" s="1172">
        <v>4000</v>
      </c>
      <c r="BH169" s="1172">
        <v>5000</v>
      </c>
      <c r="BI169" s="1172">
        <v>6000</v>
      </c>
      <c r="BJ169" s="1185" t="s">
        <v>1348</v>
      </c>
      <c r="BK169" s="1185"/>
      <c r="BL169" s="1185" t="s">
        <v>1333</v>
      </c>
      <c r="BM169" s="1185"/>
      <c r="BN169" s="1186"/>
      <c r="BO169" s="1185" t="s">
        <v>2308</v>
      </c>
      <c r="BP169" s="1185"/>
      <c r="BQ169" s="1185"/>
      <c r="BR169" s="1185"/>
      <c r="BS169" s="1185"/>
      <c r="BT169" s="1185"/>
      <c r="BU169" s="1185"/>
      <c r="BW169" s="1181"/>
    </row>
    <row r="170" spans="21:75">
      <c r="U170" s="1184"/>
      <c r="W170" s="1060" t="s">
        <v>90</v>
      </c>
      <c r="X170" s="1262">
        <v>0.02</v>
      </c>
      <c r="Y170" s="1260">
        <v>0.02</v>
      </c>
      <c r="Z170" s="1260">
        <v>7.0000000000000007E-2</v>
      </c>
      <c r="AA170" s="1260">
        <v>3.8022813688212927E-2</v>
      </c>
      <c r="AB170" s="1261">
        <v>0.08</v>
      </c>
      <c r="AC170" s="1260">
        <v>0.12</v>
      </c>
      <c r="AD170" s="1260">
        <v>0.12</v>
      </c>
      <c r="AE170" s="1260">
        <v>0.08</v>
      </c>
      <c r="AF170" s="1260">
        <v>0.09</v>
      </c>
      <c r="AG170" s="1260">
        <v>0.08</v>
      </c>
      <c r="AH170" s="1260">
        <v>0.06</v>
      </c>
      <c r="AI170" s="1260">
        <v>0.06</v>
      </c>
      <c r="AJ170" s="1260">
        <v>0.05</v>
      </c>
      <c r="AK170" s="1260">
        <v>0.1</v>
      </c>
      <c r="AL170" s="1260">
        <v>7.0000000000000007E-2</v>
      </c>
      <c r="AM170" s="1260">
        <v>0.05</v>
      </c>
      <c r="AN170" s="1259">
        <v>0.05</v>
      </c>
      <c r="AP170" s="1150"/>
      <c r="AT170" s="1061"/>
      <c r="AW170" s="1181"/>
      <c r="AY170" s="1184"/>
      <c r="AZ170" s="1189">
        <v>342</v>
      </c>
      <c r="BA170" s="1172">
        <v>4</v>
      </c>
      <c r="BB170" s="1188">
        <v>7.29</v>
      </c>
      <c r="BC170" s="1187">
        <v>7.1</v>
      </c>
      <c r="BD170" s="1172">
        <v>2000</v>
      </c>
      <c r="BE170" s="1172">
        <v>2500</v>
      </c>
      <c r="BF170" s="1172">
        <v>3000</v>
      </c>
      <c r="BG170" s="1172">
        <v>4000</v>
      </c>
      <c r="BH170" s="1172">
        <v>5000</v>
      </c>
      <c r="BI170" s="1172">
        <v>6000</v>
      </c>
      <c r="BJ170" s="1185" t="s">
        <v>1348</v>
      </c>
      <c r="BK170" s="1185"/>
      <c r="BL170" s="1185" t="s">
        <v>1333</v>
      </c>
      <c r="BM170" s="1185"/>
      <c r="BN170" s="1186"/>
      <c r="BO170" s="1185" t="s">
        <v>2307</v>
      </c>
      <c r="BP170" s="1185"/>
      <c r="BQ170" s="1190"/>
      <c r="BR170" s="1185"/>
      <c r="BS170" s="1185"/>
      <c r="BT170" s="1185"/>
      <c r="BU170" s="1185"/>
      <c r="BW170" s="1181"/>
    </row>
    <row r="171" spans="21:75">
      <c r="U171" s="1184"/>
      <c r="W171" s="1060" t="s">
        <v>91</v>
      </c>
      <c r="X171" s="1262">
        <v>0.01</v>
      </c>
      <c r="Y171" s="1260">
        <v>0.01</v>
      </c>
      <c r="Z171" s="1260">
        <v>0.08</v>
      </c>
      <c r="AA171" s="1260">
        <v>0.02</v>
      </c>
      <c r="AB171" s="1261">
        <v>0.12</v>
      </c>
      <c r="AC171" s="1260">
        <v>0.13</v>
      </c>
      <c r="AD171" s="1260">
        <v>0.13</v>
      </c>
      <c r="AE171" s="1260">
        <v>0.06</v>
      </c>
      <c r="AF171" s="1260">
        <v>0.11</v>
      </c>
      <c r="AG171" s="1260">
        <v>0.1</v>
      </c>
      <c r="AH171" s="1260">
        <v>0.1</v>
      </c>
      <c r="AI171" s="1260">
        <v>0.1</v>
      </c>
      <c r="AJ171" s="1260">
        <v>0.05</v>
      </c>
      <c r="AK171" s="1260">
        <v>0.12</v>
      </c>
      <c r="AL171" s="1260">
        <v>9.0000000000000011E-2</v>
      </c>
      <c r="AM171" s="1260">
        <v>0.05</v>
      </c>
      <c r="AN171" s="1259">
        <v>0.05</v>
      </c>
      <c r="AP171" s="1150"/>
      <c r="AT171" s="1061"/>
      <c r="AW171" s="1181"/>
      <c r="AY171" s="1184"/>
      <c r="AZ171" s="1189">
        <v>345</v>
      </c>
      <c r="BA171" s="1172">
        <v>2</v>
      </c>
      <c r="BB171" s="1188">
        <v>2.39</v>
      </c>
      <c r="BC171" s="1187">
        <v>7.7</v>
      </c>
      <c r="BD171" s="1172">
        <v>2000</v>
      </c>
      <c r="BE171" s="1172">
        <v>3000</v>
      </c>
      <c r="BF171" s="1172">
        <v>4000</v>
      </c>
      <c r="BG171" s="1172">
        <v>5000</v>
      </c>
      <c r="BH171" s="1172">
        <v>6500</v>
      </c>
      <c r="BI171" s="1172">
        <v>8000</v>
      </c>
      <c r="BJ171" s="1185" t="s">
        <v>1348</v>
      </c>
      <c r="BK171" s="1185"/>
      <c r="BL171" s="1185" t="s">
        <v>1329</v>
      </c>
      <c r="BM171" s="1185"/>
      <c r="BN171" s="1186"/>
      <c r="BO171" s="1185" t="s">
        <v>2306</v>
      </c>
      <c r="BP171" s="1185"/>
      <c r="BQ171" s="1190"/>
      <c r="BR171" s="1185"/>
      <c r="BS171" s="1185"/>
      <c r="BT171" s="1185"/>
      <c r="BU171" s="1185"/>
      <c r="BW171" s="1181"/>
    </row>
    <row r="172" spans="21:75">
      <c r="U172" s="1184"/>
      <c r="W172" s="1060" t="s">
        <v>92</v>
      </c>
      <c r="X172" s="1262">
        <v>0.01</v>
      </c>
      <c r="Y172" s="1260">
        <v>0.01</v>
      </c>
      <c r="Z172" s="1260">
        <v>7.0000000000000007E-2</v>
      </c>
      <c r="AA172" s="1260">
        <v>0.02</v>
      </c>
      <c r="AB172" s="1261">
        <v>0.1</v>
      </c>
      <c r="AC172" s="1260">
        <v>0.12</v>
      </c>
      <c r="AD172" s="1260">
        <v>0.12</v>
      </c>
      <c r="AE172" s="1260">
        <v>0.06</v>
      </c>
      <c r="AF172" s="1260">
        <v>0.14000000000000001</v>
      </c>
      <c r="AG172" s="1260">
        <v>0.1</v>
      </c>
      <c r="AH172" s="1260">
        <v>0.12</v>
      </c>
      <c r="AI172" s="1260">
        <v>0.12</v>
      </c>
      <c r="AJ172" s="1260">
        <v>0.05</v>
      </c>
      <c r="AK172" s="1260">
        <v>0.12</v>
      </c>
      <c r="AL172" s="1260">
        <v>9.6666666666666665E-2</v>
      </c>
      <c r="AM172" s="1260">
        <v>0.05</v>
      </c>
      <c r="AN172" s="1259">
        <v>0.05</v>
      </c>
      <c r="AP172" s="1150"/>
      <c r="AT172" s="1061"/>
      <c r="AW172" s="1181"/>
      <c r="AY172" s="1184"/>
      <c r="AZ172" s="1189">
        <v>346</v>
      </c>
      <c r="BA172" s="1172">
        <v>4</v>
      </c>
      <c r="BB172" s="1188">
        <v>3.31</v>
      </c>
      <c r="BC172" s="1187">
        <v>7.7</v>
      </c>
      <c r="BD172" s="1172">
        <v>2000</v>
      </c>
      <c r="BE172" s="1172">
        <v>2500</v>
      </c>
      <c r="BF172" s="1172">
        <v>3000</v>
      </c>
      <c r="BG172" s="1172">
        <v>4000</v>
      </c>
      <c r="BH172" s="1172">
        <v>5000</v>
      </c>
      <c r="BI172" s="1172">
        <v>6000</v>
      </c>
      <c r="BJ172" s="1185" t="s">
        <v>1348</v>
      </c>
      <c r="BK172" s="1185"/>
      <c r="BL172" s="1185" t="s">
        <v>1329</v>
      </c>
      <c r="BM172" s="1185"/>
      <c r="BN172" s="1186"/>
      <c r="BO172" s="1185" t="s">
        <v>2305</v>
      </c>
      <c r="BP172" s="1185"/>
      <c r="BQ172" s="1185"/>
      <c r="BR172" s="1185"/>
      <c r="BS172" s="1185"/>
      <c r="BT172" s="1185"/>
      <c r="BU172" s="1185"/>
      <c r="BW172" s="1181"/>
    </row>
    <row r="173" spans="21:75">
      <c r="U173" s="1184"/>
      <c r="W173" s="1060" t="s">
        <v>93</v>
      </c>
      <c r="X173" s="1262">
        <v>0.03</v>
      </c>
      <c r="Y173" s="1260">
        <v>0.01</v>
      </c>
      <c r="Z173" s="1260">
        <v>0.15</v>
      </c>
      <c r="AA173" s="1260">
        <v>0.02</v>
      </c>
      <c r="AB173" s="1261">
        <v>0.09</v>
      </c>
      <c r="AC173" s="1260">
        <v>0.1</v>
      </c>
      <c r="AD173" s="1260">
        <v>0.1</v>
      </c>
      <c r="AE173" s="1260">
        <v>0.05</v>
      </c>
      <c r="AF173" s="1260">
        <v>0.15</v>
      </c>
      <c r="AG173" s="1260">
        <v>0.1</v>
      </c>
      <c r="AH173" s="1260">
        <v>0.1</v>
      </c>
      <c r="AI173" s="1260">
        <v>0.1</v>
      </c>
      <c r="AJ173" s="1260">
        <v>0.05</v>
      </c>
      <c r="AK173" s="1260">
        <v>0.02</v>
      </c>
      <c r="AL173" s="1260">
        <v>5.6666666666666671E-2</v>
      </c>
      <c r="AM173" s="1260">
        <v>0.05</v>
      </c>
      <c r="AN173" s="1259">
        <v>0.05</v>
      </c>
      <c r="AP173" s="1150"/>
      <c r="AT173" s="1061"/>
      <c r="AW173" s="1181"/>
      <c r="AY173" s="1184"/>
      <c r="AZ173" s="1189">
        <v>347</v>
      </c>
      <c r="BA173" s="1172">
        <v>2</v>
      </c>
      <c r="BB173" s="1188">
        <v>2.39</v>
      </c>
      <c r="BC173" s="1187">
        <v>7.7</v>
      </c>
      <c r="BD173" s="1172">
        <v>2000</v>
      </c>
      <c r="BE173" s="1172">
        <v>3000</v>
      </c>
      <c r="BF173" s="1172">
        <v>4000</v>
      </c>
      <c r="BG173" s="1172">
        <v>5000</v>
      </c>
      <c r="BH173" s="1172">
        <v>6500</v>
      </c>
      <c r="BI173" s="1172">
        <v>8000</v>
      </c>
      <c r="BJ173" s="1185" t="s">
        <v>1348</v>
      </c>
      <c r="BK173" s="1185"/>
      <c r="BL173" s="1185" t="s">
        <v>1329</v>
      </c>
      <c r="BM173" s="1185"/>
      <c r="BN173" s="1186"/>
      <c r="BO173" s="1185" t="s">
        <v>2304</v>
      </c>
      <c r="BP173" s="1185"/>
      <c r="BQ173" s="1185"/>
      <c r="BR173" s="1185"/>
      <c r="BS173" s="1185"/>
      <c r="BT173" s="1185"/>
      <c r="BU173" s="1185"/>
      <c r="BW173" s="1181"/>
    </row>
    <row r="174" spans="21:75">
      <c r="U174" s="1184"/>
      <c r="W174" s="1060" t="s">
        <v>94</v>
      </c>
      <c r="X174" s="1262">
        <v>0.03</v>
      </c>
      <c r="Y174" s="1260">
        <v>0.02</v>
      </c>
      <c r="Z174" s="1260">
        <v>0.15</v>
      </c>
      <c r="AA174" s="1260">
        <v>0.02</v>
      </c>
      <c r="AB174" s="1261">
        <v>0.09</v>
      </c>
      <c r="AC174" s="1260">
        <v>0.1</v>
      </c>
      <c r="AD174" s="1260">
        <v>0.1</v>
      </c>
      <c r="AE174" s="1260">
        <v>0.05</v>
      </c>
      <c r="AF174" s="1260">
        <v>0.11</v>
      </c>
      <c r="AG174" s="1260">
        <v>0.1</v>
      </c>
      <c r="AH174" s="1260">
        <v>0.12</v>
      </c>
      <c r="AI174" s="1260">
        <v>0.12</v>
      </c>
      <c r="AJ174" s="1260">
        <v>0.05</v>
      </c>
      <c r="AK174" s="1260">
        <v>0.01</v>
      </c>
      <c r="AL174" s="1260">
        <v>0.06</v>
      </c>
      <c r="AM174" s="1260">
        <v>0.05</v>
      </c>
      <c r="AN174" s="1259">
        <v>0.05</v>
      </c>
      <c r="AP174" s="1150"/>
      <c r="AT174" s="1061"/>
      <c r="AW174" s="1181"/>
      <c r="AY174" s="1184"/>
      <c r="AZ174" s="1189">
        <v>350</v>
      </c>
      <c r="BA174" s="1172">
        <v>2</v>
      </c>
      <c r="BB174" s="1188">
        <v>2.63</v>
      </c>
      <c r="BC174" s="1187">
        <v>7.5</v>
      </c>
      <c r="BD174" s="1172">
        <v>2000</v>
      </c>
      <c r="BE174" s="1172">
        <v>3000</v>
      </c>
      <c r="BF174" s="1172">
        <v>4000</v>
      </c>
      <c r="BG174" s="1172">
        <v>5000</v>
      </c>
      <c r="BH174" s="1172">
        <v>6500</v>
      </c>
      <c r="BI174" s="1172">
        <v>8000</v>
      </c>
      <c r="BJ174" s="1185" t="s">
        <v>1894</v>
      </c>
      <c r="BK174" s="1185"/>
      <c r="BL174" s="1185" t="s">
        <v>1329</v>
      </c>
      <c r="BM174" s="1185"/>
      <c r="BN174" s="1186"/>
      <c r="BO174" s="1185" t="s">
        <v>2303</v>
      </c>
      <c r="BP174" s="1185"/>
      <c r="BQ174" s="1185"/>
      <c r="BR174" s="1185"/>
      <c r="BS174" s="1185"/>
      <c r="BT174" s="1185"/>
      <c r="BU174" s="1185"/>
      <c r="BW174" s="1181"/>
    </row>
    <row r="175" spans="21:75">
      <c r="U175" s="1184"/>
      <c r="W175" s="1060" t="s">
        <v>95</v>
      </c>
      <c r="X175" s="1262">
        <v>0.04</v>
      </c>
      <c r="Y175" s="1260">
        <v>0.19</v>
      </c>
      <c r="Z175" s="1260">
        <v>0.14000000000000001</v>
      </c>
      <c r="AA175" s="1260">
        <v>7.6045627376425853E-2</v>
      </c>
      <c r="AB175" s="1261">
        <v>7.0000000000000007E-2</v>
      </c>
      <c r="AC175" s="1260">
        <v>0.06</v>
      </c>
      <c r="AD175" s="1260">
        <v>0.06</v>
      </c>
      <c r="AE175" s="1260">
        <v>0.08</v>
      </c>
      <c r="AF175" s="1260">
        <v>0.09</v>
      </c>
      <c r="AG175" s="1260">
        <v>0.08</v>
      </c>
      <c r="AH175" s="1260">
        <v>0.15</v>
      </c>
      <c r="AI175" s="1260">
        <v>0.15</v>
      </c>
      <c r="AJ175" s="1260">
        <v>0.12</v>
      </c>
      <c r="AK175" s="1260">
        <v>0.01</v>
      </c>
      <c r="AL175" s="1260">
        <v>9.3333333333333338E-2</v>
      </c>
      <c r="AM175" s="1260">
        <v>0.12</v>
      </c>
      <c r="AN175" s="1259">
        <v>0.12</v>
      </c>
      <c r="AP175" s="1150"/>
      <c r="AT175" s="1061"/>
      <c r="AW175" s="1181"/>
      <c r="AY175" s="1184"/>
      <c r="AZ175" s="1189">
        <v>351</v>
      </c>
      <c r="BA175" s="1172">
        <v>2</v>
      </c>
      <c r="BB175" s="1188">
        <v>2.63</v>
      </c>
      <c r="BC175" s="1187">
        <v>7.5</v>
      </c>
      <c r="BD175" s="1172">
        <v>2000</v>
      </c>
      <c r="BE175" s="1172">
        <v>3000</v>
      </c>
      <c r="BF175" s="1172">
        <v>4000</v>
      </c>
      <c r="BG175" s="1172">
        <v>5000</v>
      </c>
      <c r="BH175" s="1172">
        <v>6500</v>
      </c>
      <c r="BI175" s="1172">
        <v>8000</v>
      </c>
      <c r="BJ175" s="1185" t="s">
        <v>1894</v>
      </c>
      <c r="BK175" s="1185"/>
      <c r="BL175" s="1185" t="s">
        <v>1329</v>
      </c>
      <c r="BM175" s="1185"/>
      <c r="BN175" s="1186"/>
      <c r="BO175" s="1185" t="s">
        <v>2302</v>
      </c>
      <c r="BP175" s="1185"/>
      <c r="BQ175" s="1185"/>
      <c r="BR175" s="1185"/>
      <c r="BS175" s="1185"/>
      <c r="BT175" s="1185"/>
      <c r="BU175" s="1185"/>
      <c r="BW175" s="1181"/>
    </row>
    <row r="176" spans="21:75">
      <c r="U176" s="1184"/>
      <c r="W176" s="1060" t="s">
        <v>96</v>
      </c>
      <c r="X176" s="1258">
        <v>0.19</v>
      </c>
      <c r="Y176" s="1256">
        <v>0.19</v>
      </c>
      <c r="Z176" s="1256">
        <v>0.09</v>
      </c>
      <c r="AA176" s="1256">
        <v>0.15</v>
      </c>
      <c r="AB176" s="1257">
        <v>0.05</v>
      </c>
      <c r="AC176" s="1256">
        <v>0.05</v>
      </c>
      <c r="AD176" s="1256">
        <v>0.05</v>
      </c>
      <c r="AE176" s="1256">
        <v>0.1</v>
      </c>
      <c r="AF176" s="1256">
        <v>0.05</v>
      </c>
      <c r="AG176" s="1256">
        <v>0.08</v>
      </c>
      <c r="AH176" s="1256">
        <v>0.1</v>
      </c>
      <c r="AI176" s="1256">
        <v>0.1</v>
      </c>
      <c r="AJ176" s="1256">
        <v>0.11</v>
      </c>
      <c r="AK176" s="1256">
        <v>0.08</v>
      </c>
      <c r="AL176" s="1256">
        <v>9.6666666666666679E-2</v>
      </c>
      <c r="AM176" s="1256">
        <v>0.11</v>
      </c>
      <c r="AN176" s="1255">
        <v>0.11</v>
      </c>
      <c r="AP176" s="1150"/>
      <c r="AT176" s="1061"/>
      <c r="AW176" s="1181"/>
      <c r="AY176" s="1184"/>
      <c r="AZ176" s="1189">
        <v>352</v>
      </c>
      <c r="BA176" s="1172">
        <v>0</v>
      </c>
      <c r="BB176" s="1188">
        <v>0</v>
      </c>
      <c r="BC176" s="1187">
        <v>7</v>
      </c>
      <c r="BD176" s="1172">
        <v>0</v>
      </c>
      <c r="BE176" s="1172">
        <v>0</v>
      </c>
      <c r="BF176" s="1172">
        <v>0</v>
      </c>
      <c r="BG176" s="1172">
        <v>0</v>
      </c>
      <c r="BH176" s="1172">
        <v>0</v>
      </c>
      <c r="BI176" s="1172">
        <v>0</v>
      </c>
      <c r="BJ176" s="1185"/>
      <c r="BK176" s="1185"/>
      <c r="BL176" s="1185"/>
      <c r="BM176" s="1185"/>
      <c r="BN176" s="1186"/>
      <c r="BO176" s="1185" t="s">
        <v>2301</v>
      </c>
      <c r="BP176" s="1185"/>
      <c r="BQ176" s="1185"/>
      <c r="BR176" s="1185"/>
      <c r="BS176" s="1185"/>
      <c r="BT176" s="1185"/>
      <c r="BU176" s="1185"/>
      <c r="BW176" s="1181"/>
    </row>
    <row r="177" spans="21:75">
      <c r="U177" s="1184"/>
      <c r="W177" s="1206" t="s">
        <v>76</v>
      </c>
      <c r="X177" s="1204">
        <f t="shared" ref="X177:AN177" si="32">SUM(X165:X176)</f>
        <v>1.0000000000000002</v>
      </c>
      <c r="Y177" s="1204">
        <f t="shared" si="32"/>
        <v>1</v>
      </c>
      <c r="Z177" s="1204">
        <f t="shared" si="32"/>
        <v>1.01</v>
      </c>
      <c r="AA177" s="1204">
        <f t="shared" si="32"/>
        <v>0.99951711026615975</v>
      </c>
      <c r="AB177" s="1204">
        <f t="shared" si="32"/>
        <v>1</v>
      </c>
      <c r="AC177" s="1204">
        <f t="shared" si="32"/>
        <v>1</v>
      </c>
      <c r="AD177" s="1204">
        <f t="shared" si="32"/>
        <v>1</v>
      </c>
      <c r="AE177" s="1204">
        <f t="shared" si="32"/>
        <v>1</v>
      </c>
      <c r="AF177" s="1204">
        <f t="shared" si="32"/>
        <v>1</v>
      </c>
      <c r="AG177" s="1204">
        <f t="shared" si="32"/>
        <v>0.99999999999999989</v>
      </c>
      <c r="AH177" s="1204">
        <f t="shared" si="32"/>
        <v>1</v>
      </c>
      <c r="AI177" s="1204">
        <f t="shared" si="32"/>
        <v>1</v>
      </c>
      <c r="AJ177" s="1204">
        <f t="shared" si="32"/>
        <v>1.0000000000000002</v>
      </c>
      <c r="AK177" s="1204">
        <f t="shared" si="32"/>
        <v>1</v>
      </c>
      <c r="AL177" s="1204">
        <f t="shared" si="32"/>
        <v>0.99999999999999989</v>
      </c>
      <c r="AM177" s="1204">
        <f t="shared" si="32"/>
        <v>1.0000000000000002</v>
      </c>
      <c r="AN177" s="1204">
        <f t="shared" si="32"/>
        <v>1.0000000000000002</v>
      </c>
      <c r="AP177" s="1150"/>
      <c r="AT177" s="1061"/>
      <c r="AW177" s="1181"/>
      <c r="AY177" s="1184"/>
      <c r="AZ177" s="1189">
        <v>356</v>
      </c>
      <c r="BA177" s="1172">
        <v>4</v>
      </c>
      <c r="BB177" s="1188">
        <v>15.3</v>
      </c>
      <c r="BC177" s="1187">
        <v>7.1</v>
      </c>
      <c r="BD177" s="1172">
        <v>2000</v>
      </c>
      <c r="BE177" s="1172">
        <v>2500</v>
      </c>
      <c r="BF177" s="1172">
        <v>3000</v>
      </c>
      <c r="BG177" s="1172">
        <v>4000</v>
      </c>
      <c r="BH177" s="1172">
        <v>5000</v>
      </c>
      <c r="BI177" s="1172">
        <v>6000</v>
      </c>
      <c r="BJ177" s="1185" t="s">
        <v>1348</v>
      </c>
      <c r="BK177" s="1185"/>
      <c r="BL177" s="1185" t="s">
        <v>1333</v>
      </c>
      <c r="BM177" s="1185"/>
      <c r="BN177" s="1186"/>
      <c r="BO177" s="1185" t="s">
        <v>2300</v>
      </c>
      <c r="BP177" s="1185"/>
      <c r="BQ177" s="1185"/>
      <c r="BR177" s="1185"/>
      <c r="BS177" s="1185"/>
      <c r="BT177" s="1185"/>
      <c r="BU177" s="1185"/>
      <c r="BW177" s="1181"/>
    </row>
    <row r="178" spans="21:75">
      <c r="U178" s="1184"/>
      <c r="AP178" s="1150"/>
      <c r="AW178" s="1181"/>
      <c r="AY178" s="1184"/>
      <c r="AZ178" s="1189">
        <v>357</v>
      </c>
      <c r="BA178" s="1172">
        <v>4</v>
      </c>
      <c r="BB178" s="1188">
        <v>15.3</v>
      </c>
      <c r="BC178" s="1187">
        <v>7.1</v>
      </c>
      <c r="BD178" s="1172">
        <v>2000</v>
      </c>
      <c r="BE178" s="1172">
        <v>2500</v>
      </c>
      <c r="BF178" s="1172">
        <v>3000</v>
      </c>
      <c r="BG178" s="1172">
        <v>4000</v>
      </c>
      <c r="BH178" s="1172">
        <v>5000</v>
      </c>
      <c r="BI178" s="1172">
        <v>6000</v>
      </c>
      <c r="BJ178" s="1185" t="s">
        <v>1348</v>
      </c>
      <c r="BK178" s="1185"/>
      <c r="BL178" s="1185" t="s">
        <v>1333</v>
      </c>
      <c r="BM178" s="1185"/>
      <c r="BN178" s="1186"/>
      <c r="BO178" s="1185" t="s">
        <v>2299</v>
      </c>
      <c r="BP178" s="1185"/>
      <c r="BQ178" s="1185"/>
      <c r="BR178" s="1185"/>
      <c r="BS178" s="1185"/>
      <c r="BT178" s="1185"/>
      <c r="BU178" s="1185"/>
      <c r="BW178" s="1181"/>
    </row>
    <row r="179" spans="21:75">
      <c r="U179" s="1184"/>
      <c r="AW179" s="1181"/>
      <c r="AY179" s="1184"/>
      <c r="AZ179" s="1189">
        <v>370</v>
      </c>
      <c r="BA179" s="1172">
        <v>1</v>
      </c>
      <c r="BB179" s="1188">
        <v>3.88</v>
      </c>
      <c r="BC179" s="1187">
        <v>8.3000000000000007</v>
      </c>
      <c r="BD179" s="1172">
        <v>800</v>
      </c>
      <c r="BE179" s="1172">
        <v>1400</v>
      </c>
      <c r="BF179" s="1172">
        <v>2000</v>
      </c>
      <c r="BG179" s="1172">
        <v>2000</v>
      </c>
      <c r="BH179" s="1172">
        <v>3500</v>
      </c>
      <c r="BI179" s="1172">
        <v>4500</v>
      </c>
      <c r="BJ179" s="1185" t="s">
        <v>1894</v>
      </c>
      <c r="BK179" s="1185"/>
      <c r="BL179" s="1185" t="s">
        <v>1329</v>
      </c>
      <c r="BM179" s="1185"/>
      <c r="BN179" s="1186"/>
      <c r="BO179" s="1185" t="s">
        <v>2298</v>
      </c>
      <c r="BP179" s="1185"/>
      <c r="BQ179" s="1185"/>
      <c r="BR179" s="1185"/>
      <c r="BS179" s="1185"/>
      <c r="BT179" s="1185"/>
      <c r="BU179" s="1185"/>
      <c r="BW179" s="1181"/>
    </row>
    <row r="180" spans="21:75">
      <c r="U180" s="1184"/>
      <c r="W180" s="1060" t="s">
        <v>878</v>
      </c>
      <c r="AW180" s="1181"/>
      <c r="AY180" s="1184"/>
      <c r="AZ180" s="1189">
        <v>371</v>
      </c>
      <c r="BA180" s="1172">
        <v>1</v>
      </c>
      <c r="BB180" s="1188">
        <v>3.88</v>
      </c>
      <c r="BC180" s="1187">
        <v>8.3000000000000007</v>
      </c>
      <c r="BD180" s="1172">
        <v>800</v>
      </c>
      <c r="BE180" s="1172">
        <v>1400</v>
      </c>
      <c r="BF180" s="1172">
        <v>2000</v>
      </c>
      <c r="BG180" s="1172">
        <v>2000</v>
      </c>
      <c r="BH180" s="1172">
        <v>3500</v>
      </c>
      <c r="BI180" s="1172">
        <v>4500</v>
      </c>
      <c r="BJ180" s="1185" t="s">
        <v>1894</v>
      </c>
      <c r="BK180" s="1185"/>
      <c r="BL180" s="1185" t="s">
        <v>1329</v>
      </c>
      <c r="BM180" s="1185"/>
      <c r="BN180" s="1186"/>
      <c r="BO180" s="1185" t="s">
        <v>2297</v>
      </c>
      <c r="BP180" s="1185"/>
      <c r="BQ180" s="1185"/>
      <c r="BR180" s="1185"/>
      <c r="BS180" s="1185"/>
      <c r="BT180" s="1185"/>
      <c r="BU180" s="1185"/>
      <c r="BW180" s="1181"/>
    </row>
    <row r="181" spans="21:75">
      <c r="U181" s="1184"/>
      <c r="W181" s="1201">
        <f>INDEX(BA5:BA1005,MATCH(C4,AZ5:AZ1005,0),1)</f>
        <v>4</v>
      </c>
      <c r="AW181" s="1181"/>
      <c r="AY181" s="1184"/>
      <c r="AZ181" s="1189">
        <v>373</v>
      </c>
      <c r="BA181" s="1172">
        <v>1</v>
      </c>
      <c r="BB181" s="1188">
        <v>3.38</v>
      </c>
      <c r="BC181" s="1187">
        <v>8.3000000000000007</v>
      </c>
      <c r="BD181" s="1172">
        <v>800</v>
      </c>
      <c r="BE181" s="1172">
        <v>1400</v>
      </c>
      <c r="BF181" s="1172">
        <v>2000</v>
      </c>
      <c r="BG181" s="1172">
        <v>2000</v>
      </c>
      <c r="BH181" s="1172">
        <v>3500</v>
      </c>
      <c r="BI181" s="1172">
        <v>4500</v>
      </c>
      <c r="BJ181" s="1185" t="s">
        <v>1894</v>
      </c>
      <c r="BK181" s="1185"/>
      <c r="BL181" s="1185" t="s">
        <v>1329</v>
      </c>
      <c r="BM181" s="1185"/>
      <c r="BN181" s="1186"/>
      <c r="BO181" s="1185" t="s">
        <v>2296</v>
      </c>
      <c r="BP181" s="1185"/>
      <c r="BQ181" s="1185"/>
      <c r="BR181" s="1185"/>
      <c r="BS181" s="1185"/>
      <c r="BT181" s="1185"/>
      <c r="BU181" s="1185"/>
      <c r="BW181" s="1181"/>
    </row>
    <row r="182" spans="21:75">
      <c r="U182" s="1184"/>
      <c r="AW182" s="1181"/>
      <c r="AY182" s="1184"/>
      <c r="AZ182" s="1189">
        <v>374</v>
      </c>
      <c r="BA182" s="1172">
        <v>1</v>
      </c>
      <c r="BB182" s="1188"/>
      <c r="BC182" s="1187"/>
      <c r="BD182" s="1172">
        <v>800</v>
      </c>
      <c r="BE182" s="1172">
        <v>1400</v>
      </c>
      <c r="BF182" s="1172">
        <v>2000</v>
      </c>
      <c r="BG182" s="1172">
        <v>2000</v>
      </c>
      <c r="BH182" s="1172">
        <v>3500</v>
      </c>
      <c r="BI182" s="1172">
        <v>4500</v>
      </c>
      <c r="BJ182" s="1185" t="s">
        <v>1320</v>
      </c>
      <c r="BK182" s="1185"/>
      <c r="BL182" s="1185"/>
      <c r="BM182" s="1185"/>
      <c r="BN182" s="1186">
        <v>0.4</v>
      </c>
      <c r="BO182" s="1185" t="s">
        <v>2295</v>
      </c>
      <c r="BP182" s="1185"/>
      <c r="BQ182" s="1185"/>
      <c r="BR182" s="1185"/>
      <c r="BS182" s="1185"/>
      <c r="BT182" s="1185"/>
      <c r="BU182" s="1185"/>
      <c r="BW182" s="1181"/>
    </row>
    <row r="183" spans="21:75">
      <c r="U183" s="1184"/>
      <c r="W183" s="1060" t="s">
        <v>857</v>
      </c>
      <c r="AE183" s="1060" t="s">
        <v>857</v>
      </c>
      <c r="AW183" s="1181"/>
      <c r="AY183" s="1184"/>
      <c r="AZ183" s="1189">
        <v>375</v>
      </c>
      <c r="BA183" s="1172">
        <v>1</v>
      </c>
      <c r="BB183" s="1188">
        <v>1.25</v>
      </c>
      <c r="BC183" s="1187">
        <v>7.3</v>
      </c>
      <c r="BD183" s="1172">
        <v>800</v>
      </c>
      <c r="BE183" s="1172">
        <v>1400</v>
      </c>
      <c r="BF183" s="1172">
        <v>2000</v>
      </c>
      <c r="BG183" s="1172">
        <v>2000</v>
      </c>
      <c r="BH183" s="1172">
        <v>3500</v>
      </c>
      <c r="BI183" s="1172">
        <v>4500</v>
      </c>
      <c r="BJ183" s="1185" t="s">
        <v>1894</v>
      </c>
      <c r="BK183" s="1185"/>
      <c r="BL183" s="1185" t="s">
        <v>2292</v>
      </c>
      <c r="BM183" s="1185"/>
      <c r="BN183" s="1186"/>
      <c r="BO183" s="1185" t="s">
        <v>2294</v>
      </c>
      <c r="BP183" s="1185"/>
      <c r="BQ183" s="1185"/>
      <c r="BR183" s="1185"/>
      <c r="BS183" s="1185"/>
      <c r="BT183" s="1185"/>
      <c r="BU183" s="1185"/>
      <c r="BW183" s="1181"/>
    </row>
    <row r="184" spans="21:75">
      <c r="U184" s="1184"/>
      <c r="X184" s="1739" t="s">
        <v>744</v>
      </c>
      <c r="Z184" s="1181"/>
      <c r="AA184" s="1254" t="s">
        <v>745</v>
      </c>
      <c r="AK184" s="1174" t="s">
        <v>860</v>
      </c>
      <c r="AW184" s="1181"/>
      <c r="AY184" s="1184"/>
      <c r="AZ184" s="1189">
        <v>376</v>
      </c>
      <c r="BA184" s="1172">
        <v>1</v>
      </c>
      <c r="BB184" s="1188">
        <v>1.25</v>
      </c>
      <c r="BC184" s="1187">
        <v>7.3</v>
      </c>
      <c r="BD184" s="1172">
        <v>800</v>
      </c>
      <c r="BE184" s="1172">
        <v>1400</v>
      </c>
      <c r="BF184" s="1172">
        <v>2000</v>
      </c>
      <c r="BG184" s="1172">
        <v>2000</v>
      </c>
      <c r="BH184" s="1172">
        <v>3500</v>
      </c>
      <c r="BI184" s="1172">
        <v>4500</v>
      </c>
      <c r="BJ184" s="1185" t="s">
        <v>1894</v>
      </c>
      <c r="BK184" s="1185"/>
      <c r="BL184" s="1185" t="s">
        <v>2292</v>
      </c>
      <c r="BM184" s="1185"/>
      <c r="BN184" s="1186"/>
      <c r="BO184" s="1185" t="s">
        <v>2293</v>
      </c>
      <c r="BP184" s="1185"/>
      <c r="BQ184" s="1185"/>
      <c r="BR184" s="1185"/>
      <c r="BS184" s="1185"/>
      <c r="BT184" s="1185"/>
      <c r="BU184" s="1185"/>
      <c r="BW184" s="1181"/>
    </row>
    <row r="185" spans="21:75">
      <c r="U185" s="1184"/>
      <c r="W185" s="1060" t="s">
        <v>449</v>
      </c>
      <c r="X185" s="1184" t="s">
        <v>750</v>
      </c>
      <c r="Y185" s="1254" t="s">
        <v>751</v>
      </c>
      <c r="Z185" s="1181" t="s">
        <v>752</v>
      </c>
      <c r="AA185" s="1060" t="s">
        <v>750</v>
      </c>
      <c r="AB185" s="1254" t="s">
        <v>751</v>
      </c>
      <c r="AC185" s="1060" t="s">
        <v>752</v>
      </c>
      <c r="AE185" s="1060" t="s">
        <v>449</v>
      </c>
      <c r="AF185" s="1184" t="s">
        <v>750</v>
      </c>
      <c r="AG185" s="1254" t="s">
        <v>751</v>
      </c>
      <c r="AH185" s="1060" t="s">
        <v>752</v>
      </c>
      <c r="AK185" s="1060" t="s">
        <v>745</v>
      </c>
      <c r="AL185" s="1203"/>
      <c r="AW185" s="1181"/>
      <c r="AY185" s="1184"/>
      <c r="AZ185" s="1189">
        <v>377</v>
      </c>
      <c r="BA185" s="1172">
        <v>1</v>
      </c>
      <c r="BB185" s="1188">
        <v>1.25</v>
      </c>
      <c r="BC185" s="1187">
        <v>7.3</v>
      </c>
      <c r="BD185" s="1172">
        <v>800</v>
      </c>
      <c r="BE185" s="1172">
        <v>1400</v>
      </c>
      <c r="BF185" s="1172">
        <v>2000</v>
      </c>
      <c r="BG185" s="1172">
        <v>2000</v>
      </c>
      <c r="BH185" s="1172">
        <v>3500</v>
      </c>
      <c r="BI185" s="1172">
        <v>4500</v>
      </c>
      <c r="BJ185" s="1185" t="s">
        <v>1894</v>
      </c>
      <c r="BK185" s="1185"/>
      <c r="BL185" s="1185" t="s">
        <v>2292</v>
      </c>
      <c r="BM185" s="1185"/>
      <c r="BN185" s="1186"/>
      <c r="BO185" s="1185" t="s">
        <v>2291</v>
      </c>
      <c r="BP185" s="1185"/>
      <c r="BQ185" s="1185"/>
      <c r="BR185" s="1185"/>
      <c r="BS185" s="1185"/>
      <c r="BT185" s="1185"/>
      <c r="BU185" s="1185"/>
      <c r="BW185" s="1181"/>
    </row>
    <row r="186" spans="21:75">
      <c r="U186" s="1184"/>
      <c r="W186" s="1203" t="s">
        <v>276</v>
      </c>
      <c r="X186" s="1247">
        <f t="shared" ref="X186:AC186" si="33">IF($A$4="Hawaii Island",HLOOKUP($W$181,$X$164:$AN$176,2,0),HLOOKUP($W$181,$X$146:$AK$158,2,0))*INDEX(BD$5:BD$1005,MATCH($C$4,$AZ$5:$AZ$1005,0),1)</f>
        <v>212.92775665399239</v>
      </c>
      <c r="Y186" s="1253">
        <f>IF($A$4="Hawaii Island",HLOOKUP($W$181,$X$164:$AN$176,2,0),HLOOKUP($W$181,$X$146:$AK$158,2,0))*INDEX(BE$5:BE$1005,MATCH($C$4,$AZ$5:$AZ$1005,0),1)</f>
        <v>266.1596958174905</v>
      </c>
      <c r="Z186" s="1246">
        <f t="shared" si="33"/>
        <v>319.39163498098856</v>
      </c>
      <c r="AA186" s="1247">
        <f t="shared" si="33"/>
        <v>425.85551330798478</v>
      </c>
      <c r="AB186" s="1253">
        <f t="shared" si="33"/>
        <v>532.319391634981</v>
      </c>
      <c r="AC186" s="1244">
        <f t="shared" si="33"/>
        <v>638.78326996197711</v>
      </c>
      <c r="AE186" s="1203" t="s">
        <v>276</v>
      </c>
      <c r="AF186" s="1247">
        <f t="shared" ref="AF186:AF197" si="34">IF($E$4=$AK$186,X186,IF($E$4=$AK$185,AA186,""))</f>
        <v>212.92775665399239</v>
      </c>
      <c r="AG186" s="1245">
        <f>IF($E$4=$AK$186,Y186,IF($E$4=$AK$185,AB186,""))</f>
        <v>266.1596958174905</v>
      </c>
      <c r="AH186" s="1244">
        <f t="shared" ref="AH186:AH197" si="35">IF($E$4=$AK$186,Z186,IF($E$4=$AK$185,AC186,""))</f>
        <v>319.39163498098856</v>
      </c>
      <c r="AK186" s="1060" t="s">
        <v>744</v>
      </c>
      <c r="AW186" s="1181"/>
      <c r="AY186" s="1184"/>
      <c r="AZ186" s="1189">
        <v>379</v>
      </c>
      <c r="BA186" s="1172">
        <v>4</v>
      </c>
      <c r="BB186" s="1188"/>
      <c r="BC186" s="1187"/>
      <c r="BD186" s="1172">
        <v>2000</v>
      </c>
      <c r="BE186" s="1172">
        <v>2500</v>
      </c>
      <c r="BF186" s="1172">
        <v>3000</v>
      </c>
      <c r="BG186" s="1172">
        <v>4000</v>
      </c>
      <c r="BH186" s="1172">
        <v>5000</v>
      </c>
      <c r="BI186" s="1172">
        <v>6000</v>
      </c>
      <c r="BJ186" s="1185"/>
      <c r="BK186" s="1185"/>
      <c r="BL186" s="1185"/>
      <c r="BM186" s="1185"/>
      <c r="BN186" s="1186">
        <v>0.7</v>
      </c>
      <c r="BO186" s="1185" t="s">
        <v>2290</v>
      </c>
      <c r="BP186" s="1185"/>
      <c r="BQ186" s="1185"/>
      <c r="BR186" s="1185"/>
      <c r="BS186" s="1185"/>
      <c r="BT186" s="1185"/>
      <c r="BU186" s="1185"/>
      <c r="BW186" s="1181"/>
    </row>
    <row r="187" spans="21:75">
      <c r="U187" s="1184"/>
      <c r="W187" s="1060" t="s">
        <v>277</v>
      </c>
      <c r="X187" s="1243">
        <f t="shared" ref="X187:AC187" si="36">IF($A$4="Hawaii Island",HLOOKUP($W$181,$X$164:$AN$176,3,0),HLOOKUP($W$181,$X$146:$AK$158,3,0))*INDEX(BD$5:BD$1005,MATCH($C$4,$AZ$5:$AZ$1005,0),1)</f>
        <v>197.71863117870723</v>
      </c>
      <c r="Y187" s="1252">
        <f t="shared" si="36"/>
        <v>247.14828897338404</v>
      </c>
      <c r="Z187" s="1183">
        <f t="shared" si="36"/>
        <v>296.57794676806083</v>
      </c>
      <c r="AA187" s="1243">
        <f t="shared" si="36"/>
        <v>395.43726235741445</v>
      </c>
      <c r="AB187" s="1252">
        <f t="shared" si="36"/>
        <v>494.29657794676808</v>
      </c>
      <c r="AC187" s="1061">
        <f t="shared" si="36"/>
        <v>593.15589353612165</v>
      </c>
      <c r="AE187" s="1060" t="s">
        <v>277</v>
      </c>
      <c r="AF187" s="1243">
        <f t="shared" si="34"/>
        <v>197.71863117870723</v>
      </c>
      <c r="AG187" s="1242">
        <f t="shared" ref="AG187:AG197" si="37">IF($E$4=$AK$186,Y187,IF($E$4=$AK$185,AB187,""))</f>
        <v>247.14828897338404</v>
      </c>
      <c r="AH187" s="1061">
        <f t="shared" si="35"/>
        <v>296.57794676806083</v>
      </c>
      <c r="AW187" s="1181"/>
      <c r="AY187" s="1184"/>
      <c r="AZ187" s="1189">
        <v>380</v>
      </c>
      <c r="BA187" s="1172">
        <v>4</v>
      </c>
      <c r="BB187" s="1188">
        <v>7.37</v>
      </c>
      <c r="BC187" s="1187">
        <v>8.1</v>
      </c>
      <c r="BD187" s="1172">
        <v>2000</v>
      </c>
      <c r="BE187" s="1172">
        <v>2500</v>
      </c>
      <c r="BF187" s="1172">
        <v>3000</v>
      </c>
      <c r="BG187" s="1172">
        <v>4000</v>
      </c>
      <c r="BH187" s="1172">
        <v>5000</v>
      </c>
      <c r="BI187" s="1172">
        <v>6000</v>
      </c>
      <c r="BJ187" s="1185" t="s">
        <v>1348</v>
      </c>
      <c r="BK187" s="1185"/>
      <c r="BL187" s="1185" t="s">
        <v>1333</v>
      </c>
      <c r="BM187" s="1185"/>
      <c r="BN187" s="1186"/>
      <c r="BO187" s="1185" t="s">
        <v>2289</v>
      </c>
      <c r="BP187" s="1185"/>
      <c r="BQ187" s="1185"/>
      <c r="BR187" s="1185"/>
      <c r="BS187" s="1185"/>
      <c r="BT187" s="1185"/>
      <c r="BU187" s="1185"/>
      <c r="BW187" s="1181"/>
    </row>
    <row r="188" spans="21:75">
      <c r="U188" s="1184"/>
      <c r="W188" s="1060" t="s">
        <v>88</v>
      </c>
      <c r="X188" s="1243">
        <f t="shared" ref="X188:AC188" si="38">IF($A$4="Hawaii Island",HLOOKUP($W$181,$X$164:$AN$176,4,0),HLOOKUP($W$181,$X$146:$AK$158,4,0))*INDEX(BD$5:BD$1005,MATCH($C$4,$AZ$5:$AZ$1005,0),1)</f>
        <v>482</v>
      </c>
      <c r="Y188" s="1252">
        <f t="shared" si="38"/>
        <v>602.5</v>
      </c>
      <c r="Z188" s="1183">
        <f t="shared" si="38"/>
        <v>723</v>
      </c>
      <c r="AA188" s="1243">
        <f t="shared" si="38"/>
        <v>964</v>
      </c>
      <c r="AB188" s="1252">
        <f t="shared" si="38"/>
        <v>1205</v>
      </c>
      <c r="AC188" s="1061">
        <f t="shared" si="38"/>
        <v>1446</v>
      </c>
      <c r="AE188" s="1060" t="s">
        <v>88</v>
      </c>
      <c r="AF188" s="1243">
        <f t="shared" si="34"/>
        <v>482</v>
      </c>
      <c r="AG188" s="1242">
        <f>IF($E$4=$AK$186,Y188,IF($E$4=$AK$185,AB188,""))</f>
        <v>602.5</v>
      </c>
      <c r="AH188" s="1061">
        <f t="shared" si="35"/>
        <v>723</v>
      </c>
      <c r="AK188" s="1174" t="s">
        <v>2288</v>
      </c>
      <c r="AW188" s="1181"/>
      <c r="AY188" s="1184"/>
      <c r="AZ188" s="1189">
        <v>381</v>
      </c>
      <c r="BA188" s="1172">
        <v>13</v>
      </c>
      <c r="BB188" s="1188">
        <v>5.29</v>
      </c>
      <c r="BC188" s="1187">
        <v>7.5</v>
      </c>
      <c r="BD188" s="1172">
        <v>4000</v>
      </c>
      <c r="BE188" s="1172">
        <v>6000</v>
      </c>
      <c r="BF188" s="1172">
        <v>8000</v>
      </c>
      <c r="BG188" s="1172">
        <v>9000</v>
      </c>
      <c r="BH188" s="1172">
        <v>12000</v>
      </c>
      <c r="BI188" s="1172">
        <v>15000</v>
      </c>
      <c r="BJ188" s="1185" t="s">
        <v>1348</v>
      </c>
      <c r="BK188" s="1185"/>
      <c r="BL188" s="1185" t="s">
        <v>1333</v>
      </c>
      <c r="BM188" s="1185"/>
      <c r="BN188" s="1186"/>
      <c r="BO188" s="1185" t="s">
        <v>2287</v>
      </c>
      <c r="BP188" s="1185"/>
      <c r="BQ188" s="1185"/>
      <c r="BR188" s="1185"/>
      <c r="BS188" s="1185"/>
      <c r="BT188" s="1185"/>
      <c r="BU188" s="1185"/>
      <c r="BW188" s="1181"/>
    </row>
    <row r="189" spans="21:75">
      <c r="U189" s="1184"/>
      <c r="W189" s="1060" t="s">
        <v>89</v>
      </c>
      <c r="X189" s="1243">
        <f t="shared" ref="X189:AC189" si="39">IF($A$4="Hawaii Island",HLOOKUP($W$181,$X$164:$AN$176,5,0),HLOOKUP($W$181,$X$146:$AK$158,5,0))*INDEX(BD$5:BD$1005,MATCH($C$4,$AZ$5:$AZ$1005,0),1)</f>
        <v>266.1596958174905</v>
      </c>
      <c r="Y189" s="1252">
        <f t="shared" si="39"/>
        <v>332.69961977186313</v>
      </c>
      <c r="Z189" s="1183">
        <f t="shared" si="39"/>
        <v>399.23954372623575</v>
      </c>
      <c r="AA189" s="1243">
        <f t="shared" si="39"/>
        <v>532.319391634981</v>
      </c>
      <c r="AB189" s="1252">
        <f t="shared" si="39"/>
        <v>665.39923954372625</v>
      </c>
      <c r="AC189" s="1061">
        <f t="shared" si="39"/>
        <v>798.4790874524715</v>
      </c>
      <c r="AE189" s="1060" t="s">
        <v>89</v>
      </c>
      <c r="AF189" s="1243">
        <f t="shared" si="34"/>
        <v>266.1596958174905</v>
      </c>
      <c r="AG189" s="1242">
        <f t="shared" si="37"/>
        <v>332.69961977186313</v>
      </c>
      <c r="AH189" s="1061">
        <f t="shared" si="35"/>
        <v>399.23954372623575</v>
      </c>
      <c r="AK189" s="1060" t="s">
        <v>752</v>
      </c>
      <c r="AL189" s="1203"/>
      <c r="AW189" s="1181"/>
      <c r="AY189" s="1184"/>
      <c r="AZ189" s="1189">
        <v>382</v>
      </c>
      <c r="BA189" s="1172">
        <v>13</v>
      </c>
      <c r="BB189" s="1188">
        <v>5.29</v>
      </c>
      <c r="BC189" s="1187">
        <v>7.5</v>
      </c>
      <c r="BD189" s="1172">
        <v>4000</v>
      </c>
      <c r="BE189" s="1172">
        <v>6000</v>
      </c>
      <c r="BF189" s="1172">
        <v>8000</v>
      </c>
      <c r="BG189" s="1172">
        <v>9000</v>
      </c>
      <c r="BH189" s="1172">
        <v>12000</v>
      </c>
      <c r="BI189" s="1172">
        <v>15000</v>
      </c>
      <c r="BJ189" s="1185" t="s">
        <v>1348</v>
      </c>
      <c r="BK189" s="1185"/>
      <c r="BL189" s="1185" t="s">
        <v>1333</v>
      </c>
      <c r="BM189" s="1185"/>
      <c r="BN189" s="1186"/>
      <c r="BO189" s="1185" t="s">
        <v>2286</v>
      </c>
      <c r="BP189" s="1185"/>
      <c r="BQ189" s="1185"/>
      <c r="BR189" s="1185"/>
      <c r="BS189" s="1185"/>
      <c r="BT189" s="1185"/>
      <c r="BU189" s="1185"/>
      <c r="BW189" s="1181"/>
    </row>
    <row r="190" spans="21:75">
      <c r="U190" s="1184"/>
      <c r="W190" s="1060" t="s">
        <v>39</v>
      </c>
      <c r="X190" s="1243">
        <f t="shared" ref="X190:AC190" si="40">IF($A$4="Hawaii Island",HLOOKUP($W$181,$X$164:$AN$176,6,0),HLOOKUP($W$181,$X$146:$AK$158,6,0))*INDEX(BD$5:BD$1005,MATCH($C$4,$AZ$5:$AZ$1005,0),1)</f>
        <v>152.09125475285171</v>
      </c>
      <c r="Y190" s="1252">
        <f t="shared" si="40"/>
        <v>190.11406844106463</v>
      </c>
      <c r="Z190" s="1183">
        <f t="shared" si="40"/>
        <v>228.13688212927755</v>
      </c>
      <c r="AA190" s="1243">
        <f t="shared" si="40"/>
        <v>304.18250950570342</v>
      </c>
      <c r="AB190" s="1252">
        <f t="shared" si="40"/>
        <v>380.22813688212926</v>
      </c>
      <c r="AC190" s="1061">
        <f t="shared" si="40"/>
        <v>456.2737642585551</v>
      </c>
      <c r="AE190" s="1060" t="s">
        <v>39</v>
      </c>
      <c r="AF190" s="1243">
        <f t="shared" si="34"/>
        <v>152.09125475285171</v>
      </c>
      <c r="AG190" s="1242">
        <f t="shared" si="37"/>
        <v>190.11406844106463</v>
      </c>
      <c r="AH190" s="1061">
        <f t="shared" si="35"/>
        <v>228.13688212927755</v>
      </c>
      <c r="AK190" s="1060" t="s">
        <v>751</v>
      </c>
      <c r="AW190" s="1181"/>
      <c r="AY190" s="1184"/>
      <c r="AZ190" s="1189">
        <v>383</v>
      </c>
      <c r="BA190" s="1172">
        <v>4</v>
      </c>
      <c r="BB190" s="1188">
        <v>5.29</v>
      </c>
      <c r="BC190" s="1187">
        <v>7.5</v>
      </c>
      <c r="BD190" s="1172">
        <v>2000</v>
      </c>
      <c r="BE190" s="1172">
        <v>2500</v>
      </c>
      <c r="BF190" s="1172">
        <v>3000</v>
      </c>
      <c r="BG190" s="1172">
        <v>4000</v>
      </c>
      <c r="BH190" s="1172">
        <v>5000</v>
      </c>
      <c r="BI190" s="1172">
        <v>6000</v>
      </c>
      <c r="BJ190" s="1185" t="s">
        <v>1348</v>
      </c>
      <c r="BK190" s="1185"/>
      <c r="BL190" s="1185" t="s">
        <v>1333</v>
      </c>
      <c r="BM190" s="1185"/>
      <c r="BN190" s="1186"/>
      <c r="BO190" s="1185" t="s">
        <v>2285</v>
      </c>
      <c r="BP190" s="1185"/>
      <c r="BQ190" s="1185"/>
      <c r="BR190" s="1185"/>
      <c r="BS190" s="1185"/>
      <c r="BT190" s="1185"/>
      <c r="BU190" s="1185"/>
      <c r="BW190" s="1181"/>
    </row>
    <row r="191" spans="21:75">
      <c r="U191" s="1184"/>
      <c r="W191" s="1060" t="s">
        <v>90</v>
      </c>
      <c r="X191" s="1243">
        <f t="shared" ref="X191:AC191" si="41">IF($A$4="Hawaii Island",HLOOKUP($W$181,$X$164:$AN$176,7,0),HLOOKUP($W$181,$X$146:$AK$158,7,0))*INDEX(BD$5:BD$1005,MATCH($C$4,$AZ$5:$AZ$1005,0),1)</f>
        <v>76.045627376425855</v>
      </c>
      <c r="Y191" s="1252">
        <f t="shared" si="41"/>
        <v>95.057034220532316</v>
      </c>
      <c r="Z191" s="1183">
        <f t="shared" si="41"/>
        <v>114.06844106463878</v>
      </c>
      <c r="AA191" s="1243">
        <f t="shared" si="41"/>
        <v>152.09125475285171</v>
      </c>
      <c r="AB191" s="1252">
        <f t="shared" si="41"/>
        <v>190.11406844106463</v>
      </c>
      <c r="AC191" s="1061">
        <f t="shared" si="41"/>
        <v>228.13688212927755</v>
      </c>
      <c r="AE191" s="1060" t="s">
        <v>90</v>
      </c>
      <c r="AF191" s="1243">
        <f t="shared" si="34"/>
        <v>76.045627376425855</v>
      </c>
      <c r="AG191" s="1242">
        <f t="shared" si="37"/>
        <v>95.057034220532316</v>
      </c>
      <c r="AH191" s="1061">
        <f t="shared" si="35"/>
        <v>114.06844106463878</v>
      </c>
      <c r="AK191" s="1060" t="s">
        <v>750</v>
      </c>
      <c r="AW191" s="1181"/>
      <c r="AY191" s="1184"/>
      <c r="AZ191" s="1189">
        <v>384</v>
      </c>
      <c r="BA191" s="1172">
        <v>4</v>
      </c>
      <c r="BB191" s="1188">
        <v>5.29</v>
      </c>
      <c r="BC191" s="1187">
        <v>7.5</v>
      </c>
      <c r="BD191" s="1172">
        <v>2000</v>
      </c>
      <c r="BE191" s="1172">
        <v>2500</v>
      </c>
      <c r="BF191" s="1172">
        <v>3000</v>
      </c>
      <c r="BG191" s="1172">
        <v>4000</v>
      </c>
      <c r="BH191" s="1172">
        <v>5000</v>
      </c>
      <c r="BI191" s="1172">
        <v>6000</v>
      </c>
      <c r="BJ191" s="1185" t="s">
        <v>1348</v>
      </c>
      <c r="BK191" s="1185"/>
      <c r="BL191" s="1185" t="s">
        <v>1333</v>
      </c>
      <c r="BM191" s="1185"/>
      <c r="BN191" s="1186"/>
      <c r="BO191" s="1185" t="s">
        <v>2284</v>
      </c>
      <c r="BP191" s="1185"/>
      <c r="BQ191" s="1185"/>
      <c r="BR191" s="1185"/>
      <c r="BS191" s="1172"/>
      <c r="BT191" s="1185"/>
      <c r="BU191" s="1185"/>
      <c r="BW191" s="1181"/>
    </row>
    <row r="192" spans="21:75">
      <c r="U192" s="1184"/>
      <c r="W192" s="1060" t="s">
        <v>91</v>
      </c>
      <c r="X192" s="1243">
        <f t="shared" ref="X192:AC192" si="42">IF($A$4="Hawaii Island",HLOOKUP($W$181,$X$164:$AN$176,8,0),HLOOKUP($W$181,$X$146:$AK$158,8,0))*INDEX(BD$5:BD$1005,MATCH($C$4,$AZ$5:$AZ$1005,0),1)</f>
        <v>40</v>
      </c>
      <c r="Y192" s="1252">
        <f t="shared" si="42"/>
        <v>50</v>
      </c>
      <c r="Z192" s="1183">
        <f t="shared" si="42"/>
        <v>60</v>
      </c>
      <c r="AA192" s="1243">
        <f t="shared" si="42"/>
        <v>80</v>
      </c>
      <c r="AB192" s="1252">
        <f t="shared" si="42"/>
        <v>100</v>
      </c>
      <c r="AC192" s="1061">
        <f t="shared" si="42"/>
        <v>120</v>
      </c>
      <c r="AE192" s="1060" t="s">
        <v>91</v>
      </c>
      <c r="AF192" s="1243">
        <f t="shared" si="34"/>
        <v>40</v>
      </c>
      <c r="AG192" s="1242">
        <f t="shared" si="37"/>
        <v>50</v>
      </c>
      <c r="AH192" s="1061">
        <f t="shared" si="35"/>
        <v>60</v>
      </c>
      <c r="AW192" s="1181"/>
      <c r="AY192" s="1184"/>
      <c r="AZ192" s="1189">
        <v>385</v>
      </c>
      <c r="BA192" s="1185">
        <v>14</v>
      </c>
      <c r="BB192" s="1188">
        <v>29.6</v>
      </c>
      <c r="BC192" s="1187">
        <v>5.0999999999999996</v>
      </c>
      <c r="BD192" s="1172">
        <v>1000</v>
      </c>
      <c r="BE192" s="1172">
        <v>1500</v>
      </c>
      <c r="BF192" s="1172">
        <v>2000</v>
      </c>
      <c r="BG192" s="1172">
        <v>2500</v>
      </c>
      <c r="BH192" s="1172">
        <v>3250</v>
      </c>
      <c r="BI192" s="1172">
        <v>4000</v>
      </c>
      <c r="BJ192" s="1185" t="s">
        <v>1348</v>
      </c>
      <c r="BK192" s="1185"/>
      <c r="BL192" s="1185" t="s">
        <v>1387</v>
      </c>
      <c r="BM192" s="1185"/>
      <c r="BN192" s="1186"/>
      <c r="BO192" s="1185" t="s">
        <v>2283</v>
      </c>
      <c r="BP192" s="1185"/>
      <c r="BQ192" s="1185"/>
      <c r="BR192" s="1185"/>
      <c r="BS192" s="1185"/>
      <c r="BT192" s="1185"/>
      <c r="BU192" s="1185"/>
      <c r="BW192" s="1181"/>
    </row>
    <row r="193" spans="21:75">
      <c r="U193" s="1184"/>
      <c r="W193" s="1060" t="s">
        <v>92</v>
      </c>
      <c r="X193" s="1243">
        <f t="shared" ref="X193:AC193" si="43">IF($A$4="Hawaii Island",HLOOKUP($W$181,$X$164:$AN$176,9,0),HLOOKUP($W$181,$X$146:$AK$158,9,0))*INDEX(BD$5:BD$1005,MATCH($C$4,$AZ$5:$AZ$1005,0),1)</f>
        <v>40</v>
      </c>
      <c r="Y193" s="1252">
        <f t="shared" si="43"/>
        <v>50</v>
      </c>
      <c r="Z193" s="1183">
        <f t="shared" si="43"/>
        <v>60</v>
      </c>
      <c r="AA193" s="1243">
        <f t="shared" si="43"/>
        <v>80</v>
      </c>
      <c r="AB193" s="1252">
        <f t="shared" si="43"/>
        <v>100</v>
      </c>
      <c r="AC193" s="1061">
        <f t="shared" si="43"/>
        <v>120</v>
      </c>
      <c r="AE193" s="1060" t="s">
        <v>92</v>
      </c>
      <c r="AF193" s="1243">
        <f t="shared" si="34"/>
        <v>40</v>
      </c>
      <c r="AG193" s="1242">
        <f t="shared" si="37"/>
        <v>50</v>
      </c>
      <c r="AH193" s="1061">
        <f t="shared" si="35"/>
        <v>60</v>
      </c>
      <c r="AK193" s="1197" t="s">
        <v>2199</v>
      </c>
      <c r="AW193" s="1181"/>
      <c r="AY193" s="1184"/>
      <c r="AZ193" s="1189">
        <v>386</v>
      </c>
      <c r="BA193" s="1185">
        <v>14</v>
      </c>
      <c r="BB193" s="1188">
        <v>29.6</v>
      </c>
      <c r="BC193" s="1187">
        <v>5.0999999999999996</v>
      </c>
      <c r="BD193" s="1172">
        <v>1000</v>
      </c>
      <c r="BE193" s="1172">
        <v>1500</v>
      </c>
      <c r="BF193" s="1172">
        <v>2000</v>
      </c>
      <c r="BG193" s="1172">
        <v>2500</v>
      </c>
      <c r="BH193" s="1172">
        <v>3250</v>
      </c>
      <c r="BI193" s="1172">
        <v>4000</v>
      </c>
      <c r="BJ193" s="1185" t="s">
        <v>1348</v>
      </c>
      <c r="BK193" s="1185"/>
      <c r="BL193" s="1185" t="s">
        <v>1387</v>
      </c>
      <c r="BM193" s="1185"/>
      <c r="BN193" s="1186"/>
      <c r="BO193" s="1185" t="s">
        <v>2282</v>
      </c>
      <c r="BP193" s="1185"/>
      <c r="BQ193" s="1185"/>
      <c r="BR193" s="1185"/>
      <c r="BS193" s="1185"/>
      <c r="BT193" s="1185"/>
      <c r="BU193" s="1185"/>
      <c r="BW193" s="1181"/>
    </row>
    <row r="194" spans="21:75">
      <c r="U194" s="1184"/>
      <c r="W194" s="1060" t="s">
        <v>93</v>
      </c>
      <c r="X194" s="1243">
        <f t="shared" ref="X194:AC194" si="44">IF($A$4="Hawaii Island",HLOOKUP($W$181,$X$164:$AN$176,10,0),HLOOKUP($W$181,$X$146:$AK$158,10,0))*INDEX(BD$5:BD$1005,MATCH($C$4,$AZ$5:$AZ$1005,0),1)</f>
        <v>40</v>
      </c>
      <c r="Y194" s="1252">
        <f t="shared" si="44"/>
        <v>50</v>
      </c>
      <c r="Z194" s="1183">
        <f t="shared" si="44"/>
        <v>60</v>
      </c>
      <c r="AA194" s="1243">
        <f t="shared" si="44"/>
        <v>80</v>
      </c>
      <c r="AB194" s="1252">
        <f t="shared" si="44"/>
        <v>100</v>
      </c>
      <c r="AC194" s="1061">
        <f t="shared" si="44"/>
        <v>120</v>
      </c>
      <c r="AE194" s="1060" t="s">
        <v>93</v>
      </c>
      <c r="AF194" s="1243">
        <f t="shared" si="34"/>
        <v>40</v>
      </c>
      <c r="AG194" s="1242">
        <f t="shared" si="37"/>
        <v>50</v>
      </c>
      <c r="AH194" s="1061">
        <f t="shared" si="35"/>
        <v>60</v>
      </c>
      <c r="AK194" s="1060" t="s">
        <v>2281</v>
      </c>
      <c r="AW194" s="1181"/>
      <c r="AY194" s="1184"/>
      <c r="AZ194" s="1189">
        <v>387</v>
      </c>
      <c r="BA194" s="1185">
        <v>14</v>
      </c>
      <c r="BB194" s="1188">
        <v>29.6</v>
      </c>
      <c r="BC194" s="1187">
        <v>5.0999999999999996</v>
      </c>
      <c r="BD194" s="1172">
        <v>1000</v>
      </c>
      <c r="BE194" s="1172">
        <v>1500</v>
      </c>
      <c r="BF194" s="1172">
        <v>2000</v>
      </c>
      <c r="BG194" s="1172">
        <v>2500</v>
      </c>
      <c r="BH194" s="1172">
        <v>3250</v>
      </c>
      <c r="BI194" s="1172">
        <v>4000</v>
      </c>
      <c r="BJ194" s="1185" t="s">
        <v>1348</v>
      </c>
      <c r="BK194" s="1185"/>
      <c r="BL194" s="1185" t="s">
        <v>1387</v>
      </c>
      <c r="BM194" s="1185"/>
      <c r="BN194" s="1186"/>
      <c r="BO194" s="1185" t="s">
        <v>2280</v>
      </c>
      <c r="BP194" s="1185"/>
      <c r="BQ194" s="1185"/>
      <c r="BR194" s="1185"/>
      <c r="BS194" s="1185"/>
      <c r="BT194" s="1185"/>
      <c r="BU194" s="1185"/>
      <c r="BW194" s="1181"/>
    </row>
    <row r="195" spans="21:75">
      <c r="U195" s="1184"/>
      <c r="W195" s="1060" t="s">
        <v>94</v>
      </c>
      <c r="X195" s="1243">
        <f t="shared" ref="X195:AC195" si="45">IF($A$4="Hawaii Island",HLOOKUP($W$181,$X$164:$AN$176,11,0),HLOOKUP($W$181,$X$146:$AK$158,11,0))*INDEX(BD$5:BD$1005,MATCH($C$4,$AZ$5:$AZ$1005,0),1)</f>
        <v>40</v>
      </c>
      <c r="Y195" s="1252">
        <f t="shared" si="45"/>
        <v>50</v>
      </c>
      <c r="Z195" s="1183">
        <f t="shared" si="45"/>
        <v>60</v>
      </c>
      <c r="AA195" s="1243">
        <f t="shared" si="45"/>
        <v>80</v>
      </c>
      <c r="AB195" s="1252">
        <f t="shared" si="45"/>
        <v>100</v>
      </c>
      <c r="AC195" s="1061">
        <f t="shared" si="45"/>
        <v>120</v>
      </c>
      <c r="AE195" s="1060" t="s">
        <v>94</v>
      </c>
      <c r="AF195" s="1243">
        <f t="shared" si="34"/>
        <v>40</v>
      </c>
      <c r="AG195" s="1242">
        <f t="shared" si="37"/>
        <v>50</v>
      </c>
      <c r="AH195" s="1061">
        <f t="shared" si="35"/>
        <v>60</v>
      </c>
      <c r="AK195" s="1060" t="s">
        <v>2279</v>
      </c>
      <c r="AW195" s="1181"/>
      <c r="AY195" s="1184"/>
      <c r="AZ195" s="1189">
        <v>388</v>
      </c>
      <c r="BA195" s="1185">
        <v>14</v>
      </c>
      <c r="BB195" s="1188">
        <v>29.6</v>
      </c>
      <c r="BC195" s="1187">
        <v>5.0999999999999996</v>
      </c>
      <c r="BD195" s="1172">
        <v>1000</v>
      </c>
      <c r="BE195" s="1172">
        <v>1500</v>
      </c>
      <c r="BF195" s="1172">
        <v>2000</v>
      </c>
      <c r="BG195" s="1172">
        <v>2500</v>
      </c>
      <c r="BH195" s="1172">
        <v>3250</v>
      </c>
      <c r="BI195" s="1172">
        <v>4000</v>
      </c>
      <c r="BJ195" s="1185" t="s">
        <v>1348</v>
      </c>
      <c r="BK195" s="1185"/>
      <c r="BL195" s="1185" t="s">
        <v>1387</v>
      </c>
      <c r="BM195" s="1185"/>
      <c r="BN195" s="1186"/>
      <c r="BO195" s="1185" t="s">
        <v>2278</v>
      </c>
      <c r="BP195" s="1185"/>
      <c r="BQ195" s="1185"/>
      <c r="BR195" s="1185"/>
      <c r="BS195" s="1185"/>
      <c r="BT195" s="1185"/>
      <c r="BU195" s="1185"/>
      <c r="BW195" s="1181"/>
    </row>
    <row r="196" spans="21:75">
      <c r="U196" s="1184"/>
      <c r="W196" s="1060" t="s">
        <v>95</v>
      </c>
      <c r="X196" s="1243">
        <f t="shared" ref="X196:AC196" si="46">IF($A$4="Hawaii Island",HLOOKUP($W$181,$X$164:$AN$176,12,0),HLOOKUP($W$181,$X$146:$AK$158,12,0))*INDEX(BD$5:BD$1005,MATCH($C$4,$AZ$5:$AZ$1005,0),1)</f>
        <v>152.09125475285171</v>
      </c>
      <c r="Y196" s="1252">
        <f t="shared" si="46"/>
        <v>190.11406844106463</v>
      </c>
      <c r="Z196" s="1183">
        <f t="shared" si="46"/>
        <v>228.13688212927755</v>
      </c>
      <c r="AA196" s="1243">
        <f t="shared" si="46"/>
        <v>304.18250950570342</v>
      </c>
      <c r="AB196" s="1252">
        <f t="shared" si="46"/>
        <v>380.22813688212926</v>
      </c>
      <c r="AC196" s="1061">
        <f t="shared" si="46"/>
        <v>456.2737642585551</v>
      </c>
      <c r="AE196" s="1060" t="s">
        <v>95</v>
      </c>
      <c r="AF196" s="1243">
        <f t="shared" si="34"/>
        <v>152.09125475285171</v>
      </c>
      <c r="AG196" s="1242">
        <f t="shared" si="37"/>
        <v>190.11406844106463</v>
      </c>
      <c r="AH196" s="1061">
        <f t="shared" si="35"/>
        <v>228.13688212927755</v>
      </c>
      <c r="AW196" s="1181"/>
      <c r="AY196" s="1184"/>
      <c r="AZ196" s="1189">
        <v>389</v>
      </c>
      <c r="BA196" s="1185">
        <v>14</v>
      </c>
      <c r="BB196" s="1188">
        <v>29.6</v>
      </c>
      <c r="BC196" s="1187">
        <v>5.0999999999999996</v>
      </c>
      <c r="BD196" s="1172">
        <v>1000</v>
      </c>
      <c r="BE196" s="1172">
        <v>1500</v>
      </c>
      <c r="BF196" s="1172">
        <v>2000</v>
      </c>
      <c r="BG196" s="1172">
        <v>2500</v>
      </c>
      <c r="BH196" s="1172">
        <v>3250</v>
      </c>
      <c r="BI196" s="1172">
        <v>4000</v>
      </c>
      <c r="BJ196" s="1185" t="s">
        <v>1348</v>
      </c>
      <c r="BK196" s="1185"/>
      <c r="BL196" s="1185" t="s">
        <v>1387</v>
      </c>
      <c r="BM196" s="1185"/>
      <c r="BN196" s="1186"/>
      <c r="BO196" s="1185" t="s">
        <v>2277</v>
      </c>
      <c r="BP196" s="1185"/>
      <c r="BQ196" s="1185"/>
      <c r="BR196" s="1185"/>
      <c r="BS196" s="1185"/>
      <c r="BT196" s="1185"/>
      <c r="BU196" s="1185"/>
      <c r="BW196" s="1181"/>
    </row>
    <row r="197" spans="21:75">
      <c r="U197" s="1184"/>
      <c r="W197" s="1060" t="s">
        <v>96</v>
      </c>
      <c r="X197" s="1249">
        <f t="shared" ref="X197:AC197" si="47">IF($A$4="Hawaii Island",HLOOKUP($W$181,$X$164:$AN$176,13,0),HLOOKUP($W$181,$X$146:$AK$158,13,0))*INDEX(BD$5:BD$1005,MATCH($C$4,$AZ$5:$AZ$1005,0),1)</f>
        <v>300</v>
      </c>
      <c r="Y197" s="1250">
        <f t="shared" si="47"/>
        <v>375</v>
      </c>
      <c r="Z197" s="1251">
        <f t="shared" si="47"/>
        <v>450</v>
      </c>
      <c r="AA197" s="1249">
        <f t="shared" si="47"/>
        <v>600</v>
      </c>
      <c r="AB197" s="1250">
        <f t="shared" si="47"/>
        <v>750</v>
      </c>
      <c r="AC197" s="1176">
        <f t="shared" si="47"/>
        <v>900</v>
      </c>
      <c r="AE197" s="1174" t="s">
        <v>96</v>
      </c>
      <c r="AF197" s="1249">
        <f t="shared" si="34"/>
        <v>300</v>
      </c>
      <c r="AG197" s="1248">
        <f t="shared" si="37"/>
        <v>375</v>
      </c>
      <c r="AH197" s="1176">
        <f t="shared" si="35"/>
        <v>450</v>
      </c>
      <c r="AW197" s="1181"/>
      <c r="AY197" s="1184"/>
      <c r="AZ197" s="1189">
        <v>390</v>
      </c>
      <c r="BA197" s="1172">
        <v>13</v>
      </c>
      <c r="BB197" s="1188">
        <v>14.18</v>
      </c>
      <c r="BC197" s="1187">
        <v>6.4</v>
      </c>
      <c r="BD197" s="1172">
        <v>4000</v>
      </c>
      <c r="BE197" s="1172">
        <v>6000</v>
      </c>
      <c r="BF197" s="1172">
        <v>8000</v>
      </c>
      <c r="BG197" s="1172">
        <v>9000</v>
      </c>
      <c r="BH197" s="1172">
        <v>12000</v>
      </c>
      <c r="BI197" s="1172">
        <v>15000</v>
      </c>
      <c r="BJ197" s="1185" t="s">
        <v>1892</v>
      </c>
      <c r="BK197" s="1185"/>
      <c r="BL197" s="1185" t="s">
        <v>1390</v>
      </c>
      <c r="BM197" s="1185"/>
      <c r="BN197" s="1186"/>
      <c r="BO197" s="1185" t="s">
        <v>2276</v>
      </c>
      <c r="BP197" s="1185"/>
      <c r="BQ197" s="1185"/>
      <c r="BR197" s="1185"/>
      <c r="BS197" s="1185"/>
      <c r="BT197" s="1185"/>
      <c r="BU197" s="1185"/>
      <c r="BW197" s="1181"/>
    </row>
    <row r="198" spans="21:75">
      <c r="U198" s="1184"/>
      <c r="W198" s="1203" t="s">
        <v>76</v>
      </c>
      <c r="X198" s="1247">
        <f t="shared" ref="X198:AC198" si="48">SUM(X186:X197)</f>
        <v>1999.0342205323193</v>
      </c>
      <c r="Y198" s="1245">
        <f t="shared" si="48"/>
        <v>2498.7927756653994</v>
      </c>
      <c r="Z198" s="1246">
        <f t="shared" si="48"/>
        <v>2998.5513307984793</v>
      </c>
      <c r="AA198" s="1244">
        <f t="shared" si="48"/>
        <v>3998.0684410646386</v>
      </c>
      <c r="AB198" s="1245">
        <f t="shared" si="48"/>
        <v>4997.5855513307988</v>
      </c>
      <c r="AC198" s="1244">
        <f t="shared" si="48"/>
        <v>5997.1026615969586</v>
      </c>
      <c r="AE198" s="1060" t="s">
        <v>76</v>
      </c>
      <c r="AF198" s="1243">
        <f>SUM(AF186:AF197)</f>
        <v>1999.0342205323193</v>
      </c>
      <c r="AG198" s="1242">
        <f>SUM(AG186:AG197)</f>
        <v>2498.7927756653994</v>
      </c>
      <c r="AH198" s="1061">
        <f>SUM(AH186:AH197)</f>
        <v>2998.5513307984793</v>
      </c>
      <c r="AW198" s="1181"/>
      <c r="AY198" s="1184"/>
      <c r="AZ198" s="1189">
        <v>391</v>
      </c>
      <c r="BA198" s="1172">
        <v>13</v>
      </c>
      <c r="BB198" s="1188">
        <v>14.18</v>
      </c>
      <c r="BC198" s="1187">
        <v>6.4</v>
      </c>
      <c r="BD198" s="1172">
        <v>4000</v>
      </c>
      <c r="BE198" s="1172">
        <v>6000</v>
      </c>
      <c r="BF198" s="1172">
        <v>8000</v>
      </c>
      <c r="BG198" s="1172">
        <v>9000</v>
      </c>
      <c r="BH198" s="1172">
        <v>12000</v>
      </c>
      <c r="BI198" s="1172">
        <v>15000</v>
      </c>
      <c r="BJ198" s="1185" t="s">
        <v>1892</v>
      </c>
      <c r="BK198" s="1185"/>
      <c r="BL198" s="1185" t="s">
        <v>1390</v>
      </c>
      <c r="BM198" s="1185"/>
      <c r="BN198" s="1186"/>
      <c r="BO198" s="1185" t="s">
        <v>2275</v>
      </c>
      <c r="BP198" s="1185"/>
      <c r="BQ198" s="1185"/>
      <c r="BR198" s="1185"/>
      <c r="BS198" s="1185"/>
      <c r="BT198" s="1185"/>
      <c r="BU198" s="1185"/>
      <c r="BW198" s="1181"/>
    </row>
    <row r="199" spans="21:75">
      <c r="U199" s="1184"/>
      <c r="AW199" s="1181"/>
      <c r="AY199" s="1184"/>
      <c r="AZ199" s="1189">
        <v>394</v>
      </c>
      <c r="BA199" s="1172">
        <v>13</v>
      </c>
      <c r="BB199" s="1188">
        <v>20.100000000000001</v>
      </c>
      <c r="BC199" s="1187">
        <v>5.7</v>
      </c>
      <c r="BD199" s="1172">
        <v>4000</v>
      </c>
      <c r="BE199" s="1172">
        <v>6000</v>
      </c>
      <c r="BF199" s="1172">
        <v>8000</v>
      </c>
      <c r="BG199" s="1172">
        <v>9000</v>
      </c>
      <c r="BH199" s="1172">
        <v>12000</v>
      </c>
      <c r="BI199" s="1172">
        <v>15000</v>
      </c>
      <c r="BJ199" s="1185" t="s">
        <v>1892</v>
      </c>
      <c r="BK199" s="1185"/>
      <c r="BL199" s="1185" t="s">
        <v>1390</v>
      </c>
      <c r="BM199" s="1185"/>
      <c r="BN199" s="1186">
        <v>0.35</v>
      </c>
      <c r="BO199" s="1185" t="s">
        <v>2274</v>
      </c>
      <c r="BP199" s="1185"/>
      <c r="BQ199" s="1185"/>
      <c r="BR199" s="1185"/>
      <c r="BS199" s="1185"/>
      <c r="BT199" s="1185"/>
      <c r="BU199" s="1185"/>
      <c r="BW199" s="1181"/>
    </row>
    <row r="200" spans="21:75">
      <c r="U200" s="1184"/>
      <c r="AW200" s="1181"/>
      <c r="AY200" s="1184"/>
      <c r="AZ200" s="1189">
        <v>395</v>
      </c>
      <c r="BA200" s="1172">
        <v>13</v>
      </c>
      <c r="BB200" s="1188">
        <v>20.100000000000001</v>
      </c>
      <c r="BC200" s="1187">
        <v>5.7</v>
      </c>
      <c r="BD200" s="1172">
        <v>4000</v>
      </c>
      <c r="BE200" s="1172">
        <v>6000</v>
      </c>
      <c r="BF200" s="1172">
        <v>8000</v>
      </c>
      <c r="BG200" s="1172">
        <v>9000</v>
      </c>
      <c r="BH200" s="1172">
        <v>12000</v>
      </c>
      <c r="BI200" s="1172">
        <v>15000</v>
      </c>
      <c r="BJ200" s="1185" t="s">
        <v>1892</v>
      </c>
      <c r="BK200" s="1185"/>
      <c r="BL200" s="1185" t="s">
        <v>1390</v>
      </c>
      <c r="BM200" s="1185"/>
      <c r="BN200" s="1186">
        <v>0.35</v>
      </c>
      <c r="BO200" s="1185" t="s">
        <v>2273</v>
      </c>
      <c r="BP200" s="1185"/>
      <c r="BQ200" s="1185"/>
      <c r="BR200" s="1185"/>
      <c r="BS200" s="1185"/>
      <c r="BT200" s="1185"/>
      <c r="BU200" s="1185"/>
      <c r="BW200" s="1181"/>
    </row>
    <row r="201" spans="21:75">
      <c r="U201" s="1184"/>
      <c r="AW201" s="1181"/>
      <c r="AY201" s="1184"/>
      <c r="AZ201" s="1189">
        <v>396</v>
      </c>
      <c r="BA201" s="1172">
        <v>13</v>
      </c>
      <c r="BB201" s="1188">
        <v>20.100000000000001</v>
      </c>
      <c r="BC201" s="1187">
        <v>5.7</v>
      </c>
      <c r="BD201" s="1172">
        <v>4000</v>
      </c>
      <c r="BE201" s="1172">
        <v>6000</v>
      </c>
      <c r="BF201" s="1172">
        <v>8000</v>
      </c>
      <c r="BG201" s="1172">
        <v>9000</v>
      </c>
      <c r="BH201" s="1172">
        <v>12000</v>
      </c>
      <c r="BI201" s="1172">
        <v>15000</v>
      </c>
      <c r="BJ201" s="1185" t="s">
        <v>1892</v>
      </c>
      <c r="BK201" s="1185"/>
      <c r="BL201" s="1185" t="s">
        <v>1390</v>
      </c>
      <c r="BM201" s="1185"/>
      <c r="BN201" s="1186"/>
      <c r="BO201" s="1185" t="s">
        <v>2272</v>
      </c>
      <c r="BP201" s="1185"/>
      <c r="BQ201" s="1185"/>
      <c r="BR201" s="1185"/>
      <c r="BS201" s="1185"/>
      <c r="BT201" s="1185"/>
      <c r="BU201" s="1185"/>
      <c r="BW201" s="1181"/>
    </row>
    <row r="202" spans="21:75">
      <c r="U202" s="1241">
        <v>5</v>
      </c>
      <c r="V202" s="1240" t="s">
        <v>2271</v>
      </c>
      <c r="W202" s="1203"/>
      <c r="X202" s="1203"/>
      <c r="Y202" s="1203"/>
      <c r="Z202" s="1203"/>
      <c r="AA202" s="1203"/>
      <c r="AB202" s="1203"/>
      <c r="AC202" s="1203"/>
      <c r="AD202" s="1203"/>
      <c r="AE202" s="1203"/>
      <c r="AF202" s="1203"/>
      <c r="AG202" s="1203"/>
      <c r="AH202" s="1203"/>
      <c r="AI202" s="1203"/>
      <c r="AJ202" s="1203"/>
      <c r="AK202" s="1203"/>
      <c r="AL202" s="1203"/>
      <c r="AM202" s="1203"/>
      <c r="AN202" s="1203"/>
      <c r="AO202" s="1203"/>
      <c r="AP202" s="1203"/>
      <c r="AQ202" s="1203"/>
      <c r="AR202" s="1203"/>
      <c r="AS202" s="1203"/>
      <c r="AT202" s="1203"/>
      <c r="AU202" s="1203"/>
      <c r="AV202" s="1203"/>
      <c r="AW202" s="1206"/>
      <c r="AY202" s="1184"/>
      <c r="AZ202" s="1189">
        <v>397</v>
      </c>
      <c r="BA202" s="1172">
        <v>13</v>
      </c>
      <c r="BB202" s="1188">
        <v>20.100000000000001</v>
      </c>
      <c r="BC202" s="1187">
        <v>5.7</v>
      </c>
      <c r="BD202" s="1172">
        <v>4000</v>
      </c>
      <c r="BE202" s="1172">
        <v>6000</v>
      </c>
      <c r="BF202" s="1172">
        <v>8000</v>
      </c>
      <c r="BG202" s="1172">
        <v>9000</v>
      </c>
      <c r="BH202" s="1172">
        <v>12000</v>
      </c>
      <c r="BI202" s="1172">
        <v>15000</v>
      </c>
      <c r="BJ202" s="1185" t="s">
        <v>1892</v>
      </c>
      <c r="BK202" s="1185"/>
      <c r="BL202" s="1185" t="s">
        <v>1390</v>
      </c>
      <c r="BM202" s="1185"/>
      <c r="BN202" s="1186"/>
      <c r="BO202" s="1185" t="s">
        <v>2270</v>
      </c>
      <c r="BP202" s="1185"/>
      <c r="BQ202" s="1185"/>
      <c r="BR202" s="1185"/>
      <c r="BS202" s="1185"/>
      <c r="BT202" s="1185"/>
      <c r="BU202" s="1185"/>
      <c r="BW202" s="1181"/>
    </row>
    <row r="203" spans="21:75">
      <c r="U203" s="1184"/>
      <c r="AW203" s="1181"/>
      <c r="AY203" s="1184"/>
      <c r="AZ203" s="1189">
        <v>398</v>
      </c>
      <c r="BA203" s="1172">
        <v>13</v>
      </c>
      <c r="BB203" s="1188">
        <v>20.100000000000001</v>
      </c>
      <c r="BC203" s="1187">
        <v>5.7</v>
      </c>
      <c r="BD203" s="1172">
        <v>4000</v>
      </c>
      <c r="BE203" s="1172">
        <v>6000</v>
      </c>
      <c r="BF203" s="1172">
        <v>8000</v>
      </c>
      <c r="BG203" s="1172">
        <v>9000</v>
      </c>
      <c r="BH203" s="1172">
        <v>12000</v>
      </c>
      <c r="BI203" s="1172">
        <v>15000</v>
      </c>
      <c r="BJ203" s="1185" t="s">
        <v>1892</v>
      </c>
      <c r="BK203" s="1185"/>
      <c r="BL203" s="1185" t="s">
        <v>1390</v>
      </c>
      <c r="BM203" s="1185"/>
      <c r="BN203" s="1186"/>
      <c r="BO203" s="1185" t="s">
        <v>2269</v>
      </c>
      <c r="BP203" s="1185"/>
      <c r="BQ203" s="1185"/>
      <c r="BR203" s="1185"/>
      <c r="BS203" s="1185"/>
      <c r="BT203" s="1185"/>
      <c r="BU203" s="1185"/>
      <c r="BW203" s="1181"/>
    </row>
    <row r="204" spans="21:75">
      <c r="U204" s="1184"/>
      <c r="AB204" s="1060" t="s">
        <v>739</v>
      </c>
      <c r="AW204" s="1181"/>
      <c r="AY204" s="1184"/>
      <c r="AZ204" s="1189">
        <v>399</v>
      </c>
      <c r="BA204" s="1172">
        <v>13</v>
      </c>
      <c r="BB204" s="1188">
        <v>20.100000000000001</v>
      </c>
      <c r="BC204" s="1187">
        <v>5.7</v>
      </c>
      <c r="BD204" s="1172">
        <v>4000</v>
      </c>
      <c r="BE204" s="1172">
        <v>6000</v>
      </c>
      <c r="BF204" s="1172">
        <v>8000</v>
      </c>
      <c r="BG204" s="1172">
        <v>9000</v>
      </c>
      <c r="BH204" s="1172">
        <v>12000</v>
      </c>
      <c r="BI204" s="1172">
        <v>15000</v>
      </c>
      <c r="BJ204" s="1185" t="s">
        <v>1892</v>
      </c>
      <c r="BK204" s="1185"/>
      <c r="BL204" s="1185" t="s">
        <v>1390</v>
      </c>
      <c r="BM204" s="1185"/>
      <c r="BN204" s="1186"/>
      <c r="BO204" s="1185" t="s">
        <v>2268</v>
      </c>
      <c r="BP204" s="1185"/>
      <c r="BQ204" s="1185"/>
      <c r="BR204" s="1185"/>
      <c r="BS204" s="1185"/>
      <c r="BT204" s="1185"/>
      <c r="BU204" s="1185"/>
      <c r="BW204" s="1181"/>
    </row>
    <row r="205" spans="21:75">
      <c r="U205" s="1184"/>
      <c r="W205" s="1239" t="s">
        <v>919</v>
      </c>
      <c r="X205" s="1192"/>
      <c r="Y205" s="1192"/>
      <c r="Z205" s="1192"/>
      <c r="AA205" s="1192"/>
      <c r="AB205" s="1192" t="s">
        <v>2267</v>
      </c>
      <c r="AC205" s="1192" t="s">
        <v>2266</v>
      </c>
      <c r="AD205" s="1192" t="s">
        <v>2265</v>
      </c>
      <c r="AE205" s="1192"/>
      <c r="AF205" s="1192"/>
      <c r="AG205" s="1192"/>
      <c r="AH205" s="1192"/>
      <c r="AI205" s="1192"/>
      <c r="AJ205" s="1192"/>
      <c r="AW205" s="1181"/>
      <c r="AY205" s="1184"/>
      <c r="AZ205" s="1189">
        <v>400</v>
      </c>
      <c r="BA205" s="1172">
        <v>13</v>
      </c>
      <c r="BB205" s="1188">
        <v>14.18</v>
      </c>
      <c r="BC205" s="1187">
        <v>6.4</v>
      </c>
      <c r="BD205" s="1172">
        <v>4000</v>
      </c>
      <c r="BE205" s="1172">
        <v>6000</v>
      </c>
      <c r="BF205" s="1172">
        <v>8000</v>
      </c>
      <c r="BG205" s="1172">
        <v>9000</v>
      </c>
      <c r="BH205" s="1172">
        <v>12000</v>
      </c>
      <c r="BI205" s="1172">
        <v>15000</v>
      </c>
      <c r="BJ205" s="1185" t="s">
        <v>1892</v>
      </c>
      <c r="BK205" s="1185"/>
      <c r="BL205" s="1185" t="s">
        <v>1390</v>
      </c>
      <c r="BM205" s="1185"/>
      <c r="BN205" s="1186"/>
      <c r="BO205" s="1185" t="s">
        <v>2264</v>
      </c>
      <c r="BP205" s="1185"/>
      <c r="BQ205" s="1185"/>
      <c r="BR205" s="1185"/>
      <c r="BS205" s="1185"/>
      <c r="BT205" s="1185"/>
      <c r="BU205" s="1185"/>
      <c r="BW205" s="1181"/>
    </row>
    <row r="206" spans="21:75">
      <c r="U206" s="1184"/>
      <c r="W206" s="1238">
        <v>1</v>
      </c>
      <c r="X206" s="1237" t="s">
        <v>922</v>
      </c>
      <c r="Y206" s="1236"/>
      <c r="Z206" s="1236"/>
      <c r="AA206" s="1236"/>
      <c r="AB206" s="1235" t="s">
        <v>2262</v>
      </c>
      <c r="AC206" s="1234">
        <v>1500</v>
      </c>
      <c r="AD206" s="1234">
        <v>2500</v>
      </c>
      <c r="AE206" s="1227"/>
      <c r="AF206" s="1192"/>
      <c r="AG206" s="1192"/>
      <c r="AH206" s="1192"/>
      <c r="AI206" s="1192"/>
      <c r="AJ206" s="1192"/>
      <c r="AW206" s="1181"/>
      <c r="AY206" s="1184"/>
      <c r="AZ206" s="1189">
        <v>401</v>
      </c>
      <c r="BA206" s="1185">
        <v>14</v>
      </c>
      <c r="BB206" s="1188">
        <v>15.27</v>
      </c>
      <c r="BC206" s="1187">
        <v>6</v>
      </c>
      <c r="BD206" s="1172">
        <v>1000</v>
      </c>
      <c r="BE206" s="1172">
        <v>1500</v>
      </c>
      <c r="BF206" s="1172">
        <v>2000</v>
      </c>
      <c r="BG206" s="1172">
        <v>2500</v>
      </c>
      <c r="BH206" s="1172">
        <v>3250</v>
      </c>
      <c r="BI206" s="1172">
        <v>4000</v>
      </c>
      <c r="BJ206" s="1185" t="s">
        <v>1892</v>
      </c>
      <c r="BK206" s="1185"/>
      <c r="BL206" s="1185" t="s">
        <v>1333</v>
      </c>
      <c r="BM206" s="1185"/>
      <c r="BN206" s="1186">
        <v>0.4</v>
      </c>
      <c r="BO206" s="1185" t="s">
        <v>2263</v>
      </c>
      <c r="BP206" s="1185"/>
      <c r="BQ206" s="1185"/>
      <c r="BR206" s="1185"/>
      <c r="BS206" s="1185"/>
      <c r="BT206" s="1185"/>
      <c r="BU206" s="1185"/>
      <c r="BW206" s="1181"/>
    </row>
    <row r="207" spans="21:75">
      <c r="U207" s="1184"/>
      <c r="W207" s="1230">
        <v>2</v>
      </c>
      <c r="X207" s="1229" t="s">
        <v>924</v>
      </c>
      <c r="Y207" s="1192"/>
      <c r="Z207" s="1192"/>
      <c r="AA207" s="1192"/>
      <c r="AB207" s="1232" t="s">
        <v>2262</v>
      </c>
      <c r="AC207" s="1227">
        <v>2000</v>
      </c>
      <c r="AD207" s="1227">
        <v>3000</v>
      </c>
      <c r="AE207" s="1227"/>
      <c r="AF207" s="1192"/>
      <c r="AG207" s="1192"/>
      <c r="AH207" s="1192"/>
      <c r="AI207" s="1192"/>
      <c r="AJ207" s="1192"/>
      <c r="AW207" s="1181"/>
      <c r="AY207" s="1184"/>
      <c r="AZ207" s="1189">
        <v>402</v>
      </c>
      <c r="BA207" s="1185">
        <v>16</v>
      </c>
      <c r="BB207" s="1188">
        <v>15.27</v>
      </c>
      <c r="BC207" s="1187">
        <v>6</v>
      </c>
      <c r="BD207" s="1172">
        <v>500</v>
      </c>
      <c r="BE207" s="1172">
        <v>750</v>
      </c>
      <c r="BF207" s="1172">
        <v>1000</v>
      </c>
      <c r="BG207" s="1172">
        <v>7000</v>
      </c>
      <c r="BH207" s="1172">
        <v>1500</v>
      </c>
      <c r="BI207" s="1172">
        <v>2000</v>
      </c>
      <c r="BJ207" s="1185" t="s">
        <v>1892</v>
      </c>
      <c r="BK207" s="1185"/>
      <c r="BL207" s="1185" t="s">
        <v>1333</v>
      </c>
      <c r="BM207" s="1185"/>
      <c r="BN207" s="1186"/>
      <c r="BO207" s="1185" t="s">
        <v>2261</v>
      </c>
      <c r="BP207" s="1185"/>
      <c r="BQ207" s="1185"/>
      <c r="BR207" s="1185"/>
      <c r="BS207" s="1185"/>
      <c r="BT207" s="1185"/>
      <c r="BU207" s="1185"/>
      <c r="BW207" s="1181"/>
    </row>
    <row r="208" spans="21:75">
      <c r="U208" s="1184"/>
      <c r="W208" s="1230">
        <v>3</v>
      </c>
      <c r="X208" s="1233" t="s">
        <v>2260</v>
      </c>
      <c r="Y208" s="1192"/>
      <c r="Z208" s="1192"/>
      <c r="AA208" s="1192"/>
      <c r="AB208" s="1228">
        <v>500</v>
      </c>
      <c r="AC208" s="1227">
        <v>2000</v>
      </c>
      <c r="AD208" s="1227">
        <v>5000</v>
      </c>
      <c r="AE208" s="1227"/>
      <c r="AF208" s="1192"/>
      <c r="AG208" s="1192"/>
      <c r="AH208" s="1192"/>
      <c r="AI208" s="1192"/>
      <c r="AJ208" s="1192"/>
      <c r="AW208" s="1181"/>
      <c r="AY208" s="1184"/>
      <c r="AZ208" s="1189">
        <v>403</v>
      </c>
      <c r="BA208" s="1185">
        <v>16</v>
      </c>
      <c r="BB208" s="1188">
        <v>15.27</v>
      </c>
      <c r="BC208" s="1187">
        <v>6</v>
      </c>
      <c r="BD208" s="1172">
        <v>500</v>
      </c>
      <c r="BE208" s="1172">
        <v>750</v>
      </c>
      <c r="BF208" s="1172">
        <v>1000</v>
      </c>
      <c r="BG208" s="1172">
        <v>7000</v>
      </c>
      <c r="BH208" s="1172">
        <v>1500</v>
      </c>
      <c r="BI208" s="1172">
        <v>2000</v>
      </c>
      <c r="BJ208" s="1185" t="s">
        <v>1892</v>
      </c>
      <c r="BK208" s="1185"/>
      <c r="BL208" s="1185" t="s">
        <v>1333</v>
      </c>
      <c r="BM208" s="1185"/>
      <c r="BN208" s="1186"/>
      <c r="BO208" s="1185" t="s">
        <v>2259</v>
      </c>
      <c r="BP208" s="1185"/>
      <c r="BQ208" s="1185"/>
      <c r="BR208" s="1185"/>
      <c r="BS208" s="1185"/>
      <c r="BT208" s="1185"/>
      <c r="BU208" s="1185"/>
      <c r="BW208" s="1181"/>
    </row>
    <row r="209" spans="8:75">
      <c r="U209" s="1184"/>
      <c r="W209" s="1230">
        <v>4</v>
      </c>
      <c r="X209" s="1233" t="s">
        <v>2258</v>
      </c>
      <c r="Y209" s="1192"/>
      <c r="Z209" s="1192"/>
      <c r="AA209" s="1192"/>
      <c r="AB209" s="1228">
        <v>2000</v>
      </c>
      <c r="AC209" s="1227">
        <v>4000</v>
      </c>
      <c r="AD209" s="1227">
        <v>8000</v>
      </c>
      <c r="AE209" s="1227"/>
      <c r="AF209" s="1192"/>
      <c r="AG209" s="1192"/>
      <c r="AH209" s="1192"/>
      <c r="AI209" s="1192"/>
      <c r="AJ209" s="1192"/>
      <c r="AW209" s="1181"/>
      <c r="AY209" s="1184"/>
      <c r="AZ209" s="1189">
        <v>405</v>
      </c>
      <c r="BA209" s="1185">
        <v>16</v>
      </c>
      <c r="BB209" s="1188">
        <v>11.6</v>
      </c>
      <c r="BC209" s="1187">
        <v>6.1</v>
      </c>
      <c r="BD209" s="1172">
        <v>500</v>
      </c>
      <c r="BE209" s="1172">
        <v>750</v>
      </c>
      <c r="BF209" s="1172">
        <v>1000</v>
      </c>
      <c r="BG209" s="1172">
        <v>7000</v>
      </c>
      <c r="BH209" s="1172">
        <v>1500</v>
      </c>
      <c r="BI209" s="1172">
        <v>2000</v>
      </c>
      <c r="BJ209" s="1185" t="s">
        <v>1892</v>
      </c>
      <c r="BK209" s="1185"/>
      <c r="BL209" s="1185" t="s">
        <v>1333</v>
      </c>
      <c r="BM209" s="1185"/>
      <c r="BN209" s="1186"/>
      <c r="BO209" s="1185" t="s">
        <v>2257</v>
      </c>
      <c r="BP209" s="1185"/>
      <c r="BQ209" s="1185"/>
      <c r="BR209" s="1185"/>
      <c r="BS209" s="1185"/>
      <c r="BT209" s="1185"/>
      <c r="BU209" s="1185"/>
      <c r="BW209" s="1181"/>
    </row>
    <row r="210" spans="8:75">
      <c r="U210" s="1184"/>
      <c r="W210" s="1230">
        <v>5</v>
      </c>
      <c r="X210" s="1233" t="s">
        <v>2256</v>
      </c>
      <c r="Y210" s="1192"/>
      <c r="Z210" s="1192"/>
      <c r="AA210" s="1192"/>
      <c r="AB210" s="1232" t="s">
        <v>931</v>
      </c>
      <c r="AC210" s="1231" t="s">
        <v>932</v>
      </c>
      <c r="AD210" s="1231" t="s">
        <v>933</v>
      </c>
      <c r="AE210" s="1227"/>
      <c r="AF210" s="1192"/>
      <c r="AG210" s="1192"/>
      <c r="AH210" s="1192"/>
      <c r="AI210" s="1192"/>
      <c r="AJ210" s="1192"/>
      <c r="AW210" s="1181"/>
      <c r="AY210" s="1184"/>
      <c r="AZ210" s="1189">
        <v>406</v>
      </c>
      <c r="BA210" s="1185">
        <v>14</v>
      </c>
      <c r="BB210" s="1188"/>
      <c r="BC210" s="1187"/>
      <c r="BD210" s="1172">
        <v>1000</v>
      </c>
      <c r="BE210" s="1172">
        <v>1500</v>
      </c>
      <c r="BF210" s="1172">
        <v>2000</v>
      </c>
      <c r="BG210" s="1172">
        <v>2500</v>
      </c>
      <c r="BH210" s="1172">
        <v>3250</v>
      </c>
      <c r="BI210" s="1172">
        <v>4000</v>
      </c>
      <c r="BJ210" s="1185"/>
      <c r="BK210" s="1185"/>
      <c r="BL210" s="1185"/>
      <c r="BM210" s="1185"/>
      <c r="BN210" s="1186">
        <v>0.7</v>
      </c>
      <c r="BO210" s="1185" t="s">
        <v>2255</v>
      </c>
      <c r="BP210" s="1185"/>
      <c r="BQ210" s="1185"/>
      <c r="BR210" s="1185"/>
      <c r="BS210" s="1185"/>
      <c r="BT210" s="1185"/>
      <c r="BU210" s="1185"/>
      <c r="BW210" s="1181"/>
    </row>
    <row r="211" spans="8:75">
      <c r="U211" s="1184"/>
      <c r="W211" s="1230">
        <v>6</v>
      </c>
      <c r="X211" s="1229" t="s">
        <v>2254</v>
      </c>
      <c r="Y211" s="1192"/>
      <c r="Z211" s="1192"/>
      <c r="AA211" s="1192"/>
      <c r="AB211" s="1228">
        <v>2000</v>
      </c>
      <c r="AC211" s="1227">
        <v>4000</v>
      </c>
      <c r="AD211" s="1227">
        <v>7000</v>
      </c>
      <c r="AE211" s="1227"/>
      <c r="AF211" s="1192"/>
      <c r="AG211" s="1192"/>
      <c r="AH211" s="1192"/>
      <c r="AI211" s="1192"/>
      <c r="AJ211" s="1192"/>
      <c r="AW211" s="1181"/>
      <c r="AY211" s="1184"/>
      <c r="AZ211" s="1189">
        <v>407</v>
      </c>
      <c r="BA211" s="1185">
        <v>16</v>
      </c>
      <c r="BB211" s="1188">
        <v>11.6</v>
      </c>
      <c r="BC211" s="1187">
        <v>6.1</v>
      </c>
      <c r="BD211" s="1172">
        <v>500</v>
      </c>
      <c r="BE211" s="1172">
        <v>750</v>
      </c>
      <c r="BF211" s="1172">
        <v>1000</v>
      </c>
      <c r="BG211" s="1172">
        <v>7000</v>
      </c>
      <c r="BH211" s="1172">
        <v>1500</v>
      </c>
      <c r="BI211" s="1172">
        <v>2000</v>
      </c>
      <c r="BJ211" s="1185" t="s">
        <v>1892</v>
      </c>
      <c r="BK211" s="1185"/>
      <c r="BL211" s="1185" t="s">
        <v>1333</v>
      </c>
      <c r="BM211" s="1185"/>
      <c r="BN211" s="1186">
        <v>0.4</v>
      </c>
      <c r="BO211" s="1185" t="s">
        <v>2253</v>
      </c>
      <c r="BP211" s="1185"/>
      <c r="BQ211" s="1185"/>
      <c r="BR211" s="1185"/>
      <c r="BS211" s="1185"/>
      <c r="BT211" s="1185"/>
      <c r="BU211" s="1185"/>
      <c r="BW211" s="1181"/>
    </row>
    <row r="212" spans="8:75">
      <c r="U212" s="1184"/>
      <c r="W212" s="1230">
        <v>7</v>
      </c>
      <c r="X212" s="1229" t="s">
        <v>2252</v>
      </c>
      <c r="Y212" s="1192"/>
      <c r="Z212" s="1192"/>
      <c r="AA212" s="1192"/>
      <c r="AB212" s="1228">
        <v>8000</v>
      </c>
      <c r="AC212" s="1227">
        <v>12000</v>
      </c>
      <c r="AD212" s="1227">
        <v>16000</v>
      </c>
      <c r="AE212" s="1227"/>
      <c r="AF212" s="1192"/>
      <c r="AG212" s="1192"/>
      <c r="AH212" s="1192"/>
      <c r="AI212" s="1192"/>
      <c r="AJ212" s="1192"/>
      <c r="AW212" s="1181"/>
      <c r="AY212" s="1184"/>
      <c r="AZ212" s="1189">
        <v>408</v>
      </c>
      <c r="BA212" s="1185">
        <v>16</v>
      </c>
      <c r="BB212" s="1188">
        <v>11.6</v>
      </c>
      <c r="BC212" s="1187">
        <v>6.1</v>
      </c>
      <c r="BD212" s="1172">
        <v>500</v>
      </c>
      <c r="BE212" s="1172">
        <v>750</v>
      </c>
      <c r="BF212" s="1172">
        <v>1000</v>
      </c>
      <c r="BG212" s="1172">
        <v>7000</v>
      </c>
      <c r="BH212" s="1172">
        <v>1500</v>
      </c>
      <c r="BI212" s="1172">
        <v>2000</v>
      </c>
      <c r="BJ212" s="1185" t="s">
        <v>1892</v>
      </c>
      <c r="BK212" s="1185"/>
      <c r="BL212" s="1185" t="s">
        <v>1333</v>
      </c>
      <c r="BM212" s="1185"/>
      <c r="BN212" s="1186">
        <v>0.3</v>
      </c>
      <c r="BO212" s="1185" t="s">
        <v>2251</v>
      </c>
      <c r="BP212" s="1185"/>
      <c r="BQ212" s="1185"/>
      <c r="BR212" s="1185"/>
      <c r="BS212" s="1185"/>
      <c r="BT212" s="1185"/>
      <c r="BU212" s="1185"/>
      <c r="BW212" s="1181"/>
    </row>
    <row r="213" spans="8:75">
      <c r="U213" s="1184"/>
      <c r="W213" s="1230">
        <v>8</v>
      </c>
      <c r="X213" s="1229" t="s">
        <v>2250</v>
      </c>
      <c r="Y213" s="1192"/>
      <c r="Z213" s="1192"/>
      <c r="AA213" s="1192"/>
      <c r="AB213" s="1228">
        <v>8000</v>
      </c>
      <c r="AC213" s="1227">
        <v>12000</v>
      </c>
      <c r="AD213" s="1227">
        <v>16000</v>
      </c>
      <c r="AE213" s="1227"/>
      <c r="AF213" s="1192"/>
      <c r="AG213" s="1192"/>
      <c r="AH213" s="1192"/>
      <c r="AI213" s="1192"/>
      <c r="AJ213" s="1192"/>
      <c r="AW213" s="1181"/>
      <c r="AY213" s="1184"/>
      <c r="AZ213" s="1189">
        <v>409</v>
      </c>
      <c r="BA213" s="1185">
        <v>16</v>
      </c>
      <c r="BB213" s="1188">
        <v>11.6</v>
      </c>
      <c r="BC213" s="1187">
        <v>6.1</v>
      </c>
      <c r="BD213" s="1172">
        <v>500</v>
      </c>
      <c r="BE213" s="1172">
        <v>750</v>
      </c>
      <c r="BF213" s="1172">
        <v>1000</v>
      </c>
      <c r="BG213" s="1172">
        <v>7000</v>
      </c>
      <c r="BH213" s="1172">
        <v>1500</v>
      </c>
      <c r="BI213" s="1172">
        <v>2000</v>
      </c>
      <c r="BJ213" s="1185" t="s">
        <v>1892</v>
      </c>
      <c r="BK213" s="1185"/>
      <c r="BL213" s="1185" t="s">
        <v>1333</v>
      </c>
      <c r="BM213" s="1185"/>
      <c r="BN213" s="1186"/>
      <c r="BO213" s="1185" t="s">
        <v>2249</v>
      </c>
      <c r="BP213" s="1185"/>
      <c r="BQ213" s="1185"/>
      <c r="BR213" s="1185"/>
      <c r="BS213" s="1185"/>
      <c r="BT213" s="1185"/>
      <c r="BU213" s="1185"/>
      <c r="BW213" s="1181"/>
    </row>
    <row r="214" spans="8:75">
      <c r="U214" s="1184"/>
      <c r="W214" s="1230">
        <v>9</v>
      </c>
      <c r="X214" s="1229" t="s">
        <v>2248</v>
      </c>
      <c r="Y214" s="1192"/>
      <c r="Z214" s="1192"/>
      <c r="AA214" s="1192"/>
      <c r="AB214" s="1228">
        <v>10000</v>
      </c>
      <c r="AC214" s="1227">
        <v>14000</v>
      </c>
      <c r="AD214" s="1227">
        <v>16000</v>
      </c>
      <c r="AE214" s="1227"/>
      <c r="AF214" s="1192"/>
      <c r="AG214" s="1192"/>
      <c r="AH214" s="1192"/>
      <c r="AI214" s="1192"/>
      <c r="AJ214" s="1192"/>
      <c r="AW214" s="1181"/>
      <c r="AY214" s="1184"/>
      <c r="AZ214" s="1189">
        <v>410</v>
      </c>
      <c r="BA214" s="1185">
        <v>14</v>
      </c>
      <c r="BB214" s="1188">
        <v>3.4</v>
      </c>
      <c r="BC214" s="1187">
        <v>7.3</v>
      </c>
      <c r="BD214" s="1172">
        <v>1000</v>
      </c>
      <c r="BE214" s="1172">
        <v>1500</v>
      </c>
      <c r="BF214" s="1172">
        <v>2000</v>
      </c>
      <c r="BG214" s="1172">
        <v>2500</v>
      </c>
      <c r="BH214" s="1172">
        <v>3250</v>
      </c>
      <c r="BI214" s="1172">
        <v>4000</v>
      </c>
      <c r="BJ214" s="1185" t="s">
        <v>1892</v>
      </c>
      <c r="BK214" s="1185"/>
      <c r="BL214" s="1185" t="s">
        <v>1333</v>
      </c>
      <c r="BM214" s="1185"/>
      <c r="BN214" s="1186"/>
      <c r="BO214" s="1185" t="s">
        <v>2247</v>
      </c>
      <c r="BP214" s="1185"/>
      <c r="BQ214" s="1185"/>
      <c r="BR214" s="1185"/>
      <c r="BS214" s="1185"/>
      <c r="BT214" s="1185"/>
      <c r="BU214" s="1185"/>
      <c r="BW214" s="1181"/>
    </row>
    <row r="215" spans="8:75">
      <c r="U215" s="1184"/>
      <c r="W215" s="1230">
        <v>10</v>
      </c>
      <c r="X215" s="1229" t="s">
        <v>935</v>
      </c>
      <c r="Y215" s="1192"/>
      <c r="Z215" s="1192"/>
      <c r="AA215" s="1192"/>
      <c r="AB215" s="1228">
        <v>1000</v>
      </c>
      <c r="AC215" s="1227">
        <v>3000</v>
      </c>
      <c r="AD215" s="1227">
        <v>6000</v>
      </c>
      <c r="AE215" s="1227"/>
      <c r="AF215" s="1192"/>
      <c r="AG215" s="1192"/>
      <c r="AH215" s="1192"/>
      <c r="AI215" s="1192"/>
      <c r="AJ215" s="1192"/>
      <c r="AW215" s="1181"/>
      <c r="AY215" s="1184"/>
      <c r="AZ215" s="1189">
        <v>411</v>
      </c>
      <c r="BA215" s="1172">
        <v>1</v>
      </c>
      <c r="BB215" s="1188">
        <v>0.81</v>
      </c>
      <c r="BC215" s="1187">
        <v>6.6</v>
      </c>
      <c r="BD215" s="1172">
        <v>800</v>
      </c>
      <c r="BE215" s="1172">
        <v>1400</v>
      </c>
      <c r="BF215" s="1172">
        <v>2000</v>
      </c>
      <c r="BG215" s="1172">
        <v>2000</v>
      </c>
      <c r="BH215" s="1172">
        <v>3500</v>
      </c>
      <c r="BI215" s="1172">
        <v>4500</v>
      </c>
      <c r="BJ215" s="1185" t="s">
        <v>1894</v>
      </c>
      <c r="BK215" s="1185"/>
      <c r="BL215" s="1185" t="s">
        <v>1333</v>
      </c>
      <c r="BM215" s="1185"/>
      <c r="BN215" s="1186"/>
      <c r="BO215" s="1185" t="s">
        <v>2246</v>
      </c>
      <c r="BP215" s="1185"/>
      <c r="BQ215" s="1190"/>
      <c r="BR215" s="1185"/>
      <c r="BS215" s="1185"/>
      <c r="BT215" s="1185"/>
      <c r="BU215" s="1185"/>
      <c r="BW215" s="1181"/>
    </row>
    <row r="216" spans="8:75">
      <c r="U216" s="1184"/>
      <c r="W216" s="1230">
        <v>11</v>
      </c>
      <c r="X216" s="1229" t="s">
        <v>2245</v>
      </c>
      <c r="Y216" s="1192"/>
      <c r="Z216" s="1192"/>
      <c r="AA216" s="1192"/>
      <c r="AB216" s="1228">
        <v>4000</v>
      </c>
      <c r="AC216" s="1227">
        <v>6000</v>
      </c>
      <c r="AD216" s="1227">
        <v>8000</v>
      </c>
      <c r="AE216" s="1227"/>
      <c r="AF216" s="1192"/>
      <c r="AG216" s="1192"/>
      <c r="AH216" s="1192"/>
      <c r="AI216" s="1192"/>
      <c r="AJ216" s="1192"/>
      <c r="AW216" s="1181"/>
      <c r="AY216" s="1184"/>
      <c r="AZ216" s="1189">
        <v>412</v>
      </c>
      <c r="BA216" s="1172">
        <v>1</v>
      </c>
      <c r="BB216" s="1188">
        <v>0.81</v>
      </c>
      <c r="BC216" s="1187">
        <v>6.5</v>
      </c>
      <c r="BD216" s="1172">
        <v>800</v>
      </c>
      <c r="BE216" s="1172">
        <v>1400</v>
      </c>
      <c r="BF216" s="1172">
        <v>2000</v>
      </c>
      <c r="BG216" s="1172">
        <v>2000</v>
      </c>
      <c r="BH216" s="1172">
        <v>3500</v>
      </c>
      <c r="BI216" s="1172">
        <v>4500</v>
      </c>
      <c r="BJ216" s="1185" t="s">
        <v>1894</v>
      </c>
      <c r="BK216" s="1185"/>
      <c r="BL216" s="1185" t="s">
        <v>1333</v>
      </c>
      <c r="BM216" s="1185"/>
      <c r="BN216" s="1186"/>
      <c r="BO216" s="1185" t="s">
        <v>2244</v>
      </c>
      <c r="BP216" s="1185"/>
      <c r="BQ216" s="1185"/>
      <c r="BR216" s="1185"/>
      <c r="BS216" s="1185"/>
      <c r="BT216" s="1185"/>
      <c r="BU216" s="1185"/>
      <c r="BW216" s="1181"/>
    </row>
    <row r="217" spans="8:75">
      <c r="U217" s="1184"/>
      <c r="W217" s="1192"/>
      <c r="X217" s="1192"/>
      <c r="Y217" s="1192"/>
      <c r="Z217" s="1192"/>
      <c r="AA217" s="1192"/>
      <c r="AB217" s="1192"/>
      <c r="AC217" s="1192"/>
      <c r="AD217" s="1193"/>
      <c r="AE217" s="1226"/>
      <c r="AF217" s="1192"/>
      <c r="AG217" s="1192"/>
      <c r="AH217" s="1192"/>
      <c r="AI217" s="1192"/>
      <c r="AJ217" s="1192"/>
      <c r="AW217" s="1181"/>
      <c r="AY217" s="1184"/>
      <c r="AZ217" s="1189">
        <v>413</v>
      </c>
      <c r="BA217" s="1185">
        <v>3</v>
      </c>
      <c r="BB217" s="1188">
        <v>1.03</v>
      </c>
      <c r="BC217" s="1187">
        <v>6.6</v>
      </c>
      <c r="BD217" s="1172">
        <v>3000</v>
      </c>
      <c r="BE217" s="1172">
        <v>4000</v>
      </c>
      <c r="BF217" s="1172">
        <v>5000</v>
      </c>
      <c r="BG217" s="1172">
        <v>6000</v>
      </c>
      <c r="BH217" s="1172">
        <v>8000</v>
      </c>
      <c r="BI217" s="1172">
        <v>10000</v>
      </c>
      <c r="BJ217" s="1185" t="s">
        <v>1894</v>
      </c>
      <c r="BK217" s="1185"/>
      <c r="BL217" s="1185" t="s">
        <v>2241</v>
      </c>
      <c r="BM217" s="1185"/>
      <c r="BN217" s="1186"/>
      <c r="BO217" s="1185" t="s">
        <v>2243</v>
      </c>
      <c r="BP217" s="1185"/>
      <c r="BQ217" s="1185"/>
      <c r="BR217" s="1185"/>
      <c r="BS217" s="1185"/>
      <c r="BT217" s="1185"/>
      <c r="BU217" s="1185"/>
      <c r="BW217" s="1181"/>
    </row>
    <row r="218" spans="8:75">
      <c r="U218" s="1184"/>
      <c r="W218" s="1196"/>
      <c r="X218" s="1192"/>
      <c r="Y218" s="1192"/>
      <c r="Z218" s="1192"/>
      <c r="AA218" s="1192"/>
      <c r="AB218" s="1192"/>
      <c r="AC218" s="1192"/>
      <c r="AD218" s="1192"/>
      <c r="AE218" s="1226"/>
      <c r="AF218" s="1192"/>
      <c r="AG218" s="1192"/>
      <c r="AH218" s="1192"/>
      <c r="AI218" s="1192"/>
      <c r="AJ218" s="1192"/>
      <c r="AW218" s="1181"/>
      <c r="AY218" s="1184"/>
      <c r="AZ218" s="1189">
        <v>414</v>
      </c>
      <c r="BA218" s="1185">
        <v>3</v>
      </c>
      <c r="BB218" s="1188">
        <v>1.03</v>
      </c>
      <c r="BC218" s="1187">
        <v>6.6</v>
      </c>
      <c r="BD218" s="1172">
        <v>3000</v>
      </c>
      <c r="BE218" s="1172">
        <v>4000</v>
      </c>
      <c r="BF218" s="1172">
        <v>5000</v>
      </c>
      <c r="BG218" s="1172">
        <v>6000</v>
      </c>
      <c r="BH218" s="1172">
        <v>8000</v>
      </c>
      <c r="BI218" s="1172">
        <v>10000</v>
      </c>
      <c r="BJ218" s="1185" t="s">
        <v>1894</v>
      </c>
      <c r="BK218" s="1185"/>
      <c r="BL218" s="1185" t="s">
        <v>2241</v>
      </c>
      <c r="BM218" s="1185"/>
      <c r="BN218" s="1186"/>
      <c r="BO218" s="1185" t="s">
        <v>2242</v>
      </c>
      <c r="BP218" s="1185"/>
      <c r="BQ218" s="1185"/>
      <c r="BR218" s="1185"/>
      <c r="BS218" s="1185"/>
      <c r="BT218" s="1185"/>
      <c r="BU218" s="1185"/>
      <c r="BW218" s="1181"/>
    </row>
    <row r="219" spans="8:75">
      <c r="U219" s="1184"/>
      <c r="W219" s="1225" t="s">
        <v>919</v>
      </c>
      <c r="X219" s="1223">
        <v>1</v>
      </c>
      <c r="Y219" s="1223">
        <v>2</v>
      </c>
      <c r="Z219" s="1224">
        <v>3</v>
      </c>
      <c r="AA219" s="1224">
        <v>4</v>
      </c>
      <c r="AB219" s="1224">
        <v>5</v>
      </c>
      <c r="AC219" s="1223">
        <v>6</v>
      </c>
      <c r="AD219" s="1223">
        <v>7</v>
      </c>
      <c r="AE219" s="1223">
        <v>8</v>
      </c>
      <c r="AF219" s="1223">
        <v>9</v>
      </c>
      <c r="AG219" s="1223">
        <v>10</v>
      </c>
      <c r="AH219" s="1223">
        <v>11</v>
      </c>
      <c r="AI219" s="1192"/>
      <c r="AJ219" s="1192"/>
      <c r="AW219" s="1181"/>
      <c r="AY219" s="1184"/>
      <c r="AZ219" s="1189">
        <v>415</v>
      </c>
      <c r="BA219" s="1185">
        <v>3</v>
      </c>
      <c r="BB219" s="1188">
        <v>1.03</v>
      </c>
      <c r="BC219" s="1187">
        <v>6.6</v>
      </c>
      <c r="BD219" s="1172">
        <v>3000</v>
      </c>
      <c r="BE219" s="1172">
        <v>4000</v>
      </c>
      <c r="BF219" s="1172">
        <v>5000</v>
      </c>
      <c r="BG219" s="1172">
        <v>6000</v>
      </c>
      <c r="BH219" s="1172">
        <v>8000</v>
      </c>
      <c r="BI219" s="1172">
        <v>10000</v>
      </c>
      <c r="BJ219" s="1185" t="s">
        <v>1894</v>
      </c>
      <c r="BK219" s="1185"/>
      <c r="BL219" s="1185" t="s">
        <v>2241</v>
      </c>
      <c r="BM219" s="1185"/>
      <c r="BN219" s="1186"/>
      <c r="BO219" s="1185" t="s">
        <v>2240</v>
      </c>
      <c r="BP219" s="1185"/>
      <c r="BQ219" s="1185"/>
      <c r="BR219" s="1185"/>
      <c r="BS219" s="1185"/>
      <c r="BT219" s="1185"/>
      <c r="BU219" s="1185"/>
      <c r="BW219" s="1181"/>
    </row>
    <row r="220" spans="8:75">
      <c r="U220" s="1184"/>
      <c r="W220" s="1221" t="s">
        <v>2239</v>
      </c>
      <c r="X220" s="1192">
        <v>5</v>
      </c>
      <c r="Y220" s="1192">
        <v>10</v>
      </c>
      <c r="Z220" s="1192">
        <v>20</v>
      </c>
      <c r="AA220" s="1192">
        <v>30</v>
      </c>
      <c r="AB220" s="1192">
        <v>75</v>
      </c>
      <c r="AC220" s="1192">
        <v>20</v>
      </c>
      <c r="AD220" s="1192">
        <v>35</v>
      </c>
      <c r="AE220" s="1222">
        <v>65</v>
      </c>
      <c r="AF220" s="1192">
        <v>75</v>
      </c>
      <c r="AG220" s="1192">
        <v>100</v>
      </c>
      <c r="AH220" s="1192">
        <v>50</v>
      </c>
      <c r="AI220" s="1192"/>
      <c r="AJ220" s="1192"/>
      <c r="AW220" s="1181"/>
      <c r="AY220" s="1184"/>
      <c r="AZ220" s="1189">
        <v>416</v>
      </c>
      <c r="BA220" s="1185">
        <v>5</v>
      </c>
      <c r="BB220" s="1188">
        <v>2.6</v>
      </c>
      <c r="BC220" s="1187">
        <v>6.4</v>
      </c>
      <c r="BD220" s="1172">
        <v>4000</v>
      </c>
      <c r="BE220" s="1172">
        <v>5000</v>
      </c>
      <c r="BF220" s="1172">
        <v>6000</v>
      </c>
      <c r="BG220" s="1172">
        <v>8000</v>
      </c>
      <c r="BH220" s="1172">
        <v>12000</v>
      </c>
      <c r="BI220" s="1172">
        <v>16000</v>
      </c>
      <c r="BJ220" s="1185" t="s">
        <v>1894</v>
      </c>
      <c r="BK220" s="1185"/>
      <c r="BL220" s="1185" t="s">
        <v>1333</v>
      </c>
      <c r="BM220" s="1185"/>
      <c r="BN220" s="1186"/>
      <c r="BO220" s="1185" t="s">
        <v>2238</v>
      </c>
      <c r="BP220" s="1185"/>
      <c r="BQ220" s="1185"/>
      <c r="BR220" s="1185"/>
      <c r="BS220" s="1185"/>
      <c r="BT220" s="1185"/>
      <c r="BU220" s="1185"/>
      <c r="BW220" s="1181"/>
    </row>
    <row r="221" spans="8:75">
      <c r="U221" s="1184"/>
      <c r="W221" s="1221" t="s">
        <v>2237</v>
      </c>
      <c r="X221" s="1192">
        <v>27</v>
      </c>
      <c r="Y221" s="1192">
        <v>19.989999999999998</v>
      </c>
      <c r="Z221" s="1192">
        <v>29.99</v>
      </c>
      <c r="AA221" s="1192">
        <v>74.989999999999995</v>
      </c>
      <c r="AB221" s="1192">
        <v>99.99</v>
      </c>
      <c r="AC221" s="1192">
        <v>34.99</v>
      </c>
      <c r="AD221" s="1192">
        <v>65</v>
      </c>
      <c r="AE221" s="1192">
        <v>100</v>
      </c>
      <c r="AF221" s="1192">
        <v>200</v>
      </c>
      <c r="AG221" s="1192">
        <v>200</v>
      </c>
      <c r="AH221" s="1192">
        <v>100</v>
      </c>
      <c r="AI221" s="1192"/>
      <c r="AJ221" s="1192"/>
      <c r="AW221" s="1181"/>
      <c r="AY221" s="1184"/>
      <c r="AZ221" s="1189">
        <v>417</v>
      </c>
      <c r="BA221" s="1172">
        <v>4</v>
      </c>
      <c r="BB221" s="1188">
        <v>5.29</v>
      </c>
      <c r="BC221" s="1187">
        <v>7.5</v>
      </c>
      <c r="BD221" s="1172">
        <v>2000</v>
      </c>
      <c r="BE221" s="1172">
        <v>2500</v>
      </c>
      <c r="BF221" s="1172">
        <v>3000</v>
      </c>
      <c r="BG221" s="1172">
        <v>4000</v>
      </c>
      <c r="BH221" s="1172">
        <v>5000</v>
      </c>
      <c r="BI221" s="1172">
        <v>6000</v>
      </c>
      <c r="BJ221" s="1185" t="s">
        <v>1348</v>
      </c>
      <c r="BK221" s="1185"/>
      <c r="BL221" s="1185" t="s">
        <v>1333</v>
      </c>
      <c r="BM221" s="1185"/>
      <c r="BN221" s="1186"/>
      <c r="BO221" s="1185" t="s">
        <v>2236</v>
      </c>
      <c r="BP221" s="1185"/>
      <c r="BQ221" s="1185"/>
      <c r="BR221" s="1185"/>
      <c r="BS221" s="1185"/>
      <c r="BT221" s="1185"/>
      <c r="BU221" s="1185"/>
      <c r="BW221" s="1181"/>
    </row>
    <row r="222" spans="8:75">
      <c r="U222" s="1184"/>
      <c r="W222" s="1221" t="s">
        <v>2235</v>
      </c>
      <c r="X222" s="1192">
        <v>1500</v>
      </c>
      <c r="Y222" s="1192">
        <v>2000</v>
      </c>
      <c r="Z222" s="1192">
        <v>2000</v>
      </c>
      <c r="AA222" s="1192">
        <v>4000</v>
      </c>
      <c r="AB222" s="1192">
        <v>5000</v>
      </c>
      <c r="AC222" s="1192">
        <v>4000</v>
      </c>
      <c r="AD222" s="1192">
        <v>12000</v>
      </c>
      <c r="AE222" s="1192">
        <v>12000</v>
      </c>
      <c r="AF222" s="1192">
        <v>14000</v>
      </c>
      <c r="AG222" s="1192">
        <v>3000</v>
      </c>
      <c r="AH222" s="1192">
        <v>6000</v>
      </c>
      <c r="AI222" s="1192"/>
      <c r="AJ222" s="1192"/>
      <c r="AW222" s="1181"/>
      <c r="AY222" s="1184"/>
      <c r="AZ222" s="1189">
        <v>418</v>
      </c>
      <c r="BA222" s="1172">
        <v>4</v>
      </c>
      <c r="BB222" s="1188">
        <v>5.29</v>
      </c>
      <c r="BC222" s="1187">
        <v>7.5</v>
      </c>
      <c r="BD222" s="1172">
        <v>2000</v>
      </c>
      <c r="BE222" s="1172">
        <v>2500</v>
      </c>
      <c r="BF222" s="1172">
        <v>3000</v>
      </c>
      <c r="BG222" s="1172">
        <v>4000</v>
      </c>
      <c r="BH222" s="1172">
        <v>5000</v>
      </c>
      <c r="BI222" s="1172">
        <v>6000</v>
      </c>
      <c r="BJ222" s="1185" t="s">
        <v>1348</v>
      </c>
      <c r="BK222" s="1185"/>
      <c r="BL222" s="1185" t="s">
        <v>1333</v>
      </c>
      <c r="BM222" s="1185"/>
      <c r="BN222" s="1186"/>
      <c r="BO222" s="1185" t="s">
        <v>2234</v>
      </c>
      <c r="BP222" s="1185"/>
      <c r="BQ222" s="1185"/>
      <c r="BR222" s="1185"/>
      <c r="BS222" s="1185"/>
      <c r="BT222" s="1185"/>
      <c r="BU222" s="1185"/>
      <c r="BW222" s="1181"/>
    </row>
    <row r="223" spans="8:75">
      <c r="U223" s="1184"/>
      <c r="W223" s="1206"/>
      <c r="AI223" s="1192"/>
      <c r="AJ223" s="1192"/>
      <c r="AW223" s="1181"/>
      <c r="AY223" s="1184"/>
      <c r="AZ223" s="1189">
        <v>419</v>
      </c>
      <c r="BA223" s="1172">
        <v>4</v>
      </c>
      <c r="BB223" s="1188">
        <v>5.29</v>
      </c>
      <c r="BC223" s="1187">
        <v>7.5</v>
      </c>
      <c r="BD223" s="1172">
        <v>2000</v>
      </c>
      <c r="BE223" s="1172">
        <v>2500</v>
      </c>
      <c r="BF223" s="1172">
        <v>3000</v>
      </c>
      <c r="BG223" s="1172">
        <v>4000</v>
      </c>
      <c r="BH223" s="1172">
        <v>5000</v>
      </c>
      <c r="BI223" s="1172">
        <v>6000</v>
      </c>
      <c r="BJ223" s="1185" t="s">
        <v>1348</v>
      </c>
      <c r="BK223" s="1185"/>
      <c r="BL223" s="1185" t="s">
        <v>1333</v>
      </c>
      <c r="BM223" s="1185"/>
      <c r="BN223" s="1186"/>
      <c r="BO223" s="1185" t="s">
        <v>2233</v>
      </c>
      <c r="BP223" s="1185"/>
      <c r="BQ223" s="1185"/>
      <c r="BR223" s="1185"/>
      <c r="BS223" s="1172"/>
      <c r="BT223" s="1185"/>
      <c r="BU223" s="1185"/>
      <c r="BW223" s="1181"/>
    </row>
    <row r="224" spans="8:75">
      <c r="H224" s="1220" t="s">
        <v>2232</v>
      </c>
      <c r="I224" s="1220" t="s">
        <v>2232</v>
      </c>
      <c r="J224" s="1219">
        <v>7</v>
      </c>
      <c r="K224" s="1219">
        <v>7</v>
      </c>
      <c r="L224" s="1219">
        <v>7</v>
      </c>
      <c r="M224" s="1219" t="s">
        <v>926</v>
      </c>
      <c r="N224" s="1219" t="s">
        <v>926</v>
      </c>
      <c r="O224" s="1219" t="s">
        <v>926</v>
      </c>
      <c r="P224" s="1219">
        <v>9</v>
      </c>
      <c r="Q224" s="1219">
        <v>9</v>
      </c>
      <c r="R224" s="1219">
        <v>9</v>
      </c>
      <c r="U224" s="1184"/>
      <c r="W224" s="1217" t="s">
        <v>2231</v>
      </c>
      <c r="X224" s="1218">
        <v>1</v>
      </c>
      <c r="Y224" s="1217">
        <v>2</v>
      </c>
      <c r="Z224" s="1196">
        <v>4</v>
      </c>
      <c r="AA224" s="1196">
        <v>12</v>
      </c>
      <c r="AB224" s="1196" t="s">
        <v>2230</v>
      </c>
      <c r="AC224" s="1196">
        <v>3</v>
      </c>
      <c r="AD224" s="1196">
        <v>5</v>
      </c>
      <c r="AE224" s="1196">
        <v>6</v>
      </c>
      <c r="AF224" s="1196" t="s">
        <v>2229</v>
      </c>
      <c r="AG224" s="1196">
        <v>9</v>
      </c>
      <c r="AH224" s="1196">
        <v>9</v>
      </c>
      <c r="AI224" s="1192"/>
      <c r="AJ224" s="1192"/>
      <c r="AW224" s="1181"/>
      <c r="AY224" s="1184"/>
      <c r="AZ224" s="1189">
        <v>420</v>
      </c>
      <c r="BA224" s="1172">
        <v>12</v>
      </c>
      <c r="BB224" s="1188">
        <v>7.37</v>
      </c>
      <c r="BC224" s="1187">
        <v>6.7</v>
      </c>
      <c r="BD224" s="1172">
        <v>3000</v>
      </c>
      <c r="BE224" s="1172">
        <v>4000</v>
      </c>
      <c r="BF224" s="1172">
        <v>5000</v>
      </c>
      <c r="BG224" s="1172">
        <v>6000</v>
      </c>
      <c r="BH224" s="1172">
        <v>8000</v>
      </c>
      <c r="BI224" s="1172">
        <v>10000</v>
      </c>
      <c r="BJ224" s="1185" t="s">
        <v>1348</v>
      </c>
      <c r="BK224" s="1185"/>
      <c r="BL224" s="1185" t="s">
        <v>1390</v>
      </c>
      <c r="BM224" s="1185"/>
      <c r="BN224" s="1186"/>
      <c r="BO224" s="1185" t="s">
        <v>2228</v>
      </c>
      <c r="BP224" s="1185"/>
      <c r="BQ224" s="1185"/>
      <c r="BR224" s="1185"/>
      <c r="BS224" s="1185"/>
      <c r="BT224" s="1185"/>
      <c r="BU224" s="1185"/>
      <c r="BW224" s="1181"/>
    </row>
    <row r="225" spans="21:75">
      <c r="U225" s="1184"/>
      <c r="W225" s="1196"/>
      <c r="X225" s="1192"/>
      <c r="Y225" s="1192"/>
      <c r="Z225" s="1192"/>
      <c r="AA225" s="1192"/>
      <c r="AB225" s="1192"/>
      <c r="AC225" s="1192"/>
      <c r="AD225" s="1192"/>
      <c r="AE225" s="1192"/>
      <c r="AF225" s="1192"/>
      <c r="AG225" s="1192"/>
      <c r="AH225" s="1192"/>
      <c r="AI225" s="1192"/>
      <c r="AJ225" s="1192"/>
      <c r="AW225" s="1181"/>
      <c r="AY225" s="1184"/>
      <c r="AZ225" s="1189">
        <v>421</v>
      </c>
      <c r="BA225" s="1172">
        <v>12</v>
      </c>
      <c r="BB225" s="1188">
        <v>7.37</v>
      </c>
      <c r="BC225" s="1187">
        <v>6.7</v>
      </c>
      <c r="BD225" s="1172">
        <v>3000</v>
      </c>
      <c r="BE225" s="1172">
        <v>4000</v>
      </c>
      <c r="BF225" s="1172">
        <v>5000</v>
      </c>
      <c r="BG225" s="1172">
        <v>6000</v>
      </c>
      <c r="BH225" s="1172">
        <v>8000</v>
      </c>
      <c r="BI225" s="1172">
        <v>10000</v>
      </c>
      <c r="BJ225" s="1185" t="s">
        <v>1348</v>
      </c>
      <c r="BK225" s="1185"/>
      <c r="BL225" s="1185" t="s">
        <v>1390</v>
      </c>
      <c r="BM225" s="1185"/>
      <c r="BN225" s="1186"/>
      <c r="BO225" s="1185" t="s">
        <v>2227</v>
      </c>
      <c r="BP225" s="1185"/>
      <c r="BQ225" s="1185"/>
      <c r="BR225" s="1185"/>
      <c r="BS225" s="1185"/>
      <c r="BT225" s="1185"/>
      <c r="BU225" s="1185"/>
      <c r="BW225" s="1181"/>
    </row>
    <row r="226" spans="21:75">
      <c r="U226" s="1184"/>
      <c r="W226" s="1200" t="s">
        <v>2226</v>
      </c>
      <c r="X226" s="1192"/>
      <c r="Y226" s="1192"/>
      <c r="Z226" s="1192"/>
      <c r="AA226" s="1192"/>
      <c r="AB226" s="1192"/>
      <c r="AC226" s="1192"/>
      <c r="AD226" s="1192"/>
      <c r="AE226" s="1192"/>
      <c r="AF226" s="1192"/>
      <c r="AG226" s="1192"/>
      <c r="AH226" s="1192"/>
      <c r="AI226" s="1192"/>
      <c r="AJ226" s="1192"/>
      <c r="AW226" s="1181"/>
      <c r="AY226" s="1184"/>
      <c r="AZ226" s="1189">
        <v>422</v>
      </c>
      <c r="BA226" s="1172">
        <v>12</v>
      </c>
      <c r="BB226" s="1188">
        <v>7.37</v>
      </c>
      <c r="BC226" s="1187">
        <v>6.7</v>
      </c>
      <c r="BD226" s="1172">
        <v>3000</v>
      </c>
      <c r="BE226" s="1172">
        <v>4000</v>
      </c>
      <c r="BF226" s="1172">
        <v>5000</v>
      </c>
      <c r="BG226" s="1172">
        <v>6000</v>
      </c>
      <c r="BH226" s="1172">
        <v>8000</v>
      </c>
      <c r="BI226" s="1172">
        <v>10000</v>
      </c>
      <c r="BJ226" s="1185" t="s">
        <v>1348</v>
      </c>
      <c r="BK226" s="1185"/>
      <c r="BL226" s="1185" t="s">
        <v>1390</v>
      </c>
      <c r="BM226" s="1185"/>
      <c r="BN226" s="1186"/>
      <c r="BO226" s="1185" t="s">
        <v>2225</v>
      </c>
      <c r="BP226" s="1185"/>
      <c r="BQ226" s="1185"/>
      <c r="BR226" s="1185"/>
      <c r="BS226" s="1185"/>
      <c r="BT226" s="1185"/>
      <c r="BU226" s="1185"/>
      <c r="BW226" s="1181"/>
    </row>
    <row r="227" spans="21:75">
      <c r="U227" s="1184"/>
      <c r="W227" s="1173" t="s">
        <v>449</v>
      </c>
      <c r="X227" s="1156">
        <v>1</v>
      </c>
      <c r="Y227" s="1156">
        <v>2</v>
      </c>
      <c r="Z227" s="1156">
        <v>3</v>
      </c>
      <c r="AA227" s="1156">
        <v>4</v>
      </c>
      <c r="AB227" s="1156">
        <v>5</v>
      </c>
      <c r="AC227" s="1156">
        <v>6</v>
      </c>
      <c r="AD227" s="1156">
        <v>7</v>
      </c>
      <c r="AE227" s="1156">
        <v>8</v>
      </c>
      <c r="AF227" s="1216">
        <v>9</v>
      </c>
      <c r="AG227" s="1156">
        <v>10</v>
      </c>
      <c r="AH227" s="1156">
        <v>11</v>
      </c>
      <c r="AI227" s="1192"/>
      <c r="AJ227" s="1192"/>
      <c r="AM227" s="1156"/>
      <c r="AN227" s="1156"/>
      <c r="AW227" s="1181"/>
      <c r="AY227" s="1184"/>
      <c r="AZ227" s="1189">
        <v>423</v>
      </c>
      <c r="BA227" s="1172">
        <v>12</v>
      </c>
      <c r="BB227" s="1188">
        <v>7.37</v>
      </c>
      <c r="BC227" s="1187">
        <v>6.7</v>
      </c>
      <c r="BD227" s="1172">
        <v>3000</v>
      </c>
      <c r="BE227" s="1172">
        <v>4000</v>
      </c>
      <c r="BF227" s="1172">
        <v>5000</v>
      </c>
      <c r="BG227" s="1172">
        <v>6000</v>
      </c>
      <c r="BH227" s="1172">
        <v>8000</v>
      </c>
      <c r="BI227" s="1172">
        <v>10000</v>
      </c>
      <c r="BJ227" s="1185" t="s">
        <v>1348</v>
      </c>
      <c r="BK227" s="1185"/>
      <c r="BL227" s="1185" t="s">
        <v>1390</v>
      </c>
      <c r="BM227" s="1185"/>
      <c r="BN227" s="1186"/>
      <c r="BO227" s="1185" t="s">
        <v>2224</v>
      </c>
      <c r="BP227" s="1185"/>
      <c r="BQ227" s="1185"/>
      <c r="BR227" s="1185"/>
      <c r="BS227" s="1185"/>
      <c r="BT227" s="1185"/>
      <c r="BU227" s="1185"/>
      <c r="BW227" s="1181"/>
    </row>
    <row r="228" spans="21:75">
      <c r="U228" s="1184"/>
      <c r="W228" s="1203" t="s">
        <v>276</v>
      </c>
      <c r="X228" s="1215">
        <v>0.26</v>
      </c>
      <c r="Y228" s="1214">
        <v>0.16</v>
      </c>
      <c r="Z228" s="1213">
        <v>0.02</v>
      </c>
      <c r="AA228" s="1213">
        <v>0.02</v>
      </c>
      <c r="AB228" s="1213">
        <v>0.02</v>
      </c>
      <c r="AC228" s="1213">
        <v>0.01</v>
      </c>
      <c r="AD228" s="1213">
        <v>0.01</v>
      </c>
      <c r="AE228" s="1060">
        <v>0.06</v>
      </c>
      <c r="AF228" s="1060">
        <v>0.06</v>
      </c>
      <c r="AG228" s="1213">
        <v>0.02</v>
      </c>
      <c r="AH228" s="1213">
        <v>0.02</v>
      </c>
      <c r="AI228" s="1152"/>
      <c r="AJ228" s="1192"/>
      <c r="AM228" s="1152"/>
      <c r="AN228" s="1152"/>
      <c r="AW228" s="1181"/>
      <c r="AY228" s="1184"/>
      <c r="AZ228" s="1189">
        <v>424</v>
      </c>
      <c r="BA228" s="1185">
        <v>8</v>
      </c>
      <c r="BB228" s="1188">
        <v>9.51</v>
      </c>
      <c r="BC228" s="1187">
        <v>4.9000000000000004</v>
      </c>
      <c r="BD228" s="1172">
        <v>6000</v>
      </c>
      <c r="BE228" s="1172">
        <v>7000</v>
      </c>
      <c r="BF228" s="1172">
        <v>8000</v>
      </c>
      <c r="BG228" s="1172">
        <v>9000</v>
      </c>
      <c r="BH228" s="1172">
        <v>12000</v>
      </c>
      <c r="BI228" s="1172">
        <v>15000</v>
      </c>
      <c r="BJ228" s="1185" t="s">
        <v>1348</v>
      </c>
      <c r="BK228" s="1185"/>
      <c r="BL228" s="1185" t="s">
        <v>1387</v>
      </c>
      <c r="BM228" s="1185"/>
      <c r="BN228" s="1186"/>
      <c r="BO228" s="1185" t="s">
        <v>2223</v>
      </c>
      <c r="BP228" s="1185"/>
      <c r="BQ228" s="1185"/>
      <c r="BR228" s="1185"/>
      <c r="BS228" s="1185"/>
      <c r="BT228" s="1185"/>
      <c r="BU228" s="1185"/>
      <c r="BW228" s="1181"/>
    </row>
    <row r="229" spans="21:75">
      <c r="U229" s="1184"/>
      <c r="W229" s="1060" t="s">
        <v>277</v>
      </c>
      <c r="X229" s="1212">
        <v>0.26</v>
      </c>
      <c r="Y229" s="1210">
        <v>0.18</v>
      </c>
      <c r="Z229" s="1152">
        <v>0.02</v>
      </c>
      <c r="AA229" s="1152">
        <v>0.02</v>
      </c>
      <c r="AB229" s="1152">
        <v>0.02</v>
      </c>
      <c r="AC229" s="1152">
        <v>0.03</v>
      </c>
      <c r="AD229" s="1152">
        <v>0.03</v>
      </c>
      <c r="AE229" s="1060">
        <v>0.06</v>
      </c>
      <c r="AF229" s="1060">
        <v>0.06</v>
      </c>
      <c r="AG229" s="1152">
        <v>0.02</v>
      </c>
      <c r="AH229" s="1152">
        <v>0.02</v>
      </c>
      <c r="AI229" s="1152"/>
      <c r="AJ229" s="1192"/>
      <c r="AM229" s="1152"/>
      <c r="AN229" s="1152"/>
      <c r="AW229" s="1181"/>
      <c r="AY229" s="1184"/>
      <c r="AZ229" s="1189">
        <v>425</v>
      </c>
      <c r="BA229" s="1185">
        <v>15</v>
      </c>
      <c r="BB229" s="1188">
        <v>9.51</v>
      </c>
      <c r="BC229" s="1187">
        <v>4.9000000000000004</v>
      </c>
      <c r="BD229" s="1172">
        <v>4000</v>
      </c>
      <c r="BE229" s="1172">
        <v>6000</v>
      </c>
      <c r="BF229" s="1172">
        <v>8000</v>
      </c>
      <c r="BG229" s="1172">
        <v>8000</v>
      </c>
      <c r="BH229" s="1172">
        <v>10000</v>
      </c>
      <c r="BI229" s="1172">
        <v>12000</v>
      </c>
      <c r="BJ229" s="1185" t="s">
        <v>1348</v>
      </c>
      <c r="BK229" s="1185"/>
      <c r="BL229" s="1185" t="s">
        <v>1387</v>
      </c>
      <c r="BM229" s="1185"/>
      <c r="BN229" s="1186"/>
      <c r="BO229" s="1185" t="s">
        <v>2222</v>
      </c>
      <c r="BP229" s="1185"/>
      <c r="BQ229" s="1185"/>
      <c r="BR229" s="1185"/>
      <c r="BS229" s="1185"/>
      <c r="BT229" s="1185"/>
      <c r="BU229" s="1185"/>
      <c r="BW229" s="1181"/>
    </row>
    <row r="230" spans="21:75">
      <c r="U230" s="1184"/>
      <c r="W230" s="1060" t="s">
        <v>88</v>
      </c>
      <c r="X230" s="1211">
        <v>0.13</v>
      </c>
      <c r="Y230" s="1210">
        <v>0.18</v>
      </c>
      <c r="Z230" s="1152">
        <v>0.03</v>
      </c>
      <c r="AA230" s="1152">
        <v>0.03</v>
      </c>
      <c r="AB230" s="1152">
        <v>0.03</v>
      </c>
      <c r="AC230" s="1210">
        <v>0.11</v>
      </c>
      <c r="AD230" s="1210">
        <v>0.11</v>
      </c>
      <c r="AE230" s="1060">
        <v>0.08</v>
      </c>
      <c r="AF230" s="1060">
        <v>0.08</v>
      </c>
      <c r="AG230" s="1152">
        <v>0.03</v>
      </c>
      <c r="AH230" s="1152">
        <v>0.03</v>
      </c>
      <c r="AI230" s="1152"/>
      <c r="AJ230" s="1192"/>
      <c r="AM230" s="1210"/>
      <c r="AN230" s="1210"/>
      <c r="AW230" s="1181"/>
      <c r="AY230" s="1184"/>
      <c r="AZ230" s="1189">
        <v>426</v>
      </c>
      <c r="BA230" s="1172">
        <v>0</v>
      </c>
      <c r="BB230" s="1188">
        <v>13.01</v>
      </c>
      <c r="BC230" s="1187">
        <v>4.9000000000000004</v>
      </c>
      <c r="BD230" s="1172">
        <v>0</v>
      </c>
      <c r="BE230" s="1172">
        <v>0</v>
      </c>
      <c r="BF230" s="1172">
        <v>0</v>
      </c>
      <c r="BG230" s="1172">
        <v>0</v>
      </c>
      <c r="BH230" s="1172">
        <v>0</v>
      </c>
      <c r="BI230" s="1172">
        <v>0</v>
      </c>
      <c r="BJ230" s="1185" t="s">
        <v>1348</v>
      </c>
      <c r="BK230" s="1185"/>
      <c r="BL230" s="1185" t="s">
        <v>1387</v>
      </c>
      <c r="BM230" s="1185"/>
      <c r="BN230" s="1186"/>
      <c r="BO230" s="1185" t="s">
        <v>2221</v>
      </c>
      <c r="BP230" s="1185"/>
      <c r="BQ230" s="1185"/>
      <c r="BR230" s="1185"/>
      <c r="BS230" s="1185"/>
      <c r="BT230" s="1185"/>
      <c r="BU230" s="1185"/>
      <c r="BW230" s="1181"/>
    </row>
    <row r="231" spans="21:75">
      <c r="U231" s="1184"/>
      <c r="W231" s="1060" t="s">
        <v>89</v>
      </c>
      <c r="X231" s="1209">
        <v>0.01</v>
      </c>
      <c r="Y231" s="1210">
        <v>0.12</v>
      </c>
      <c r="Z231" s="1152">
        <v>0.04</v>
      </c>
      <c r="AA231" s="1152">
        <v>0.04</v>
      </c>
      <c r="AB231" s="1152">
        <v>0.04</v>
      </c>
      <c r="AC231" s="1210">
        <v>0.22</v>
      </c>
      <c r="AD231" s="1210">
        <v>0.22</v>
      </c>
      <c r="AE231" s="1060">
        <v>0.08</v>
      </c>
      <c r="AF231" s="1060">
        <v>0.08</v>
      </c>
      <c r="AG231" s="1152">
        <v>0.04</v>
      </c>
      <c r="AH231" s="1152">
        <v>0.04</v>
      </c>
      <c r="AI231" s="1152"/>
      <c r="AJ231" s="1192"/>
      <c r="AM231" s="1210"/>
      <c r="AN231" s="1210"/>
      <c r="AW231" s="1181"/>
      <c r="AY231" s="1184"/>
      <c r="AZ231" s="1189">
        <v>427</v>
      </c>
      <c r="BA231" s="1172">
        <v>0</v>
      </c>
      <c r="BB231" s="1188">
        <v>13.01</v>
      </c>
      <c r="BC231" s="1187">
        <v>4.9000000000000004</v>
      </c>
      <c r="BD231" s="1172">
        <v>0</v>
      </c>
      <c r="BE231" s="1172">
        <v>0</v>
      </c>
      <c r="BF231" s="1172">
        <v>0</v>
      </c>
      <c r="BG231" s="1172">
        <v>0</v>
      </c>
      <c r="BH231" s="1172">
        <v>0</v>
      </c>
      <c r="BI231" s="1172">
        <v>0</v>
      </c>
      <c r="BJ231" s="1185" t="s">
        <v>1348</v>
      </c>
      <c r="BK231" s="1185"/>
      <c r="BL231" s="1185" t="s">
        <v>1387</v>
      </c>
      <c r="BM231" s="1185"/>
      <c r="BN231" s="1186"/>
      <c r="BO231" s="1185" t="s">
        <v>2220</v>
      </c>
      <c r="BP231" s="1185"/>
      <c r="BQ231" s="1185"/>
      <c r="BR231" s="1185"/>
      <c r="BS231" s="1185"/>
      <c r="BT231" s="1185"/>
      <c r="BU231" s="1185"/>
      <c r="BW231" s="1181"/>
    </row>
    <row r="232" spans="21:75">
      <c r="U232" s="1184"/>
      <c r="W232" s="1060" t="s">
        <v>39</v>
      </c>
      <c r="X232" s="1209">
        <v>0.01</v>
      </c>
      <c r="Y232" s="1210">
        <v>0.11</v>
      </c>
      <c r="Z232" s="1152">
        <v>0.06</v>
      </c>
      <c r="AA232" s="1152">
        <v>0.06</v>
      </c>
      <c r="AB232" s="1152">
        <v>0.06</v>
      </c>
      <c r="AC232" s="1210">
        <v>0.21</v>
      </c>
      <c r="AD232" s="1210">
        <v>0.21</v>
      </c>
      <c r="AE232" s="1060">
        <v>0.08</v>
      </c>
      <c r="AF232" s="1060">
        <v>0.08</v>
      </c>
      <c r="AG232" s="1152">
        <v>0.06</v>
      </c>
      <c r="AH232" s="1152">
        <v>0.06</v>
      </c>
      <c r="AI232" s="1152"/>
      <c r="AJ232" s="1192"/>
      <c r="AM232" s="1210"/>
      <c r="AN232" s="1210"/>
      <c r="AW232" s="1181"/>
      <c r="AY232" s="1184"/>
      <c r="AZ232" s="1189">
        <v>428</v>
      </c>
      <c r="BA232" s="1185">
        <v>8</v>
      </c>
      <c r="BB232" s="1188">
        <v>8.0299999999999994</v>
      </c>
      <c r="BC232" s="1187">
        <v>5</v>
      </c>
      <c r="BD232" s="1172">
        <v>6000</v>
      </c>
      <c r="BE232" s="1172">
        <v>7000</v>
      </c>
      <c r="BF232" s="1172">
        <v>8000</v>
      </c>
      <c r="BG232" s="1172">
        <v>9000</v>
      </c>
      <c r="BH232" s="1172">
        <v>12000</v>
      </c>
      <c r="BI232" s="1172">
        <v>15000</v>
      </c>
      <c r="BJ232" s="1185" t="s">
        <v>1348</v>
      </c>
      <c r="BK232" s="1185"/>
      <c r="BL232" s="1185" t="s">
        <v>1390</v>
      </c>
      <c r="BM232" s="1185"/>
      <c r="BN232" s="1186"/>
      <c r="BO232" s="1185" t="s">
        <v>2219</v>
      </c>
      <c r="BP232" s="1185"/>
      <c r="BQ232" s="1185"/>
      <c r="BR232" s="1185"/>
      <c r="BS232" s="1185"/>
      <c r="BT232" s="1185"/>
      <c r="BU232" s="1185"/>
      <c r="BW232" s="1181"/>
    </row>
    <row r="233" spans="21:75">
      <c r="U233" s="1184"/>
      <c r="W233" s="1060" t="s">
        <v>90</v>
      </c>
      <c r="X233" s="1209">
        <v>0.01</v>
      </c>
      <c r="Y233" s="1152">
        <v>0.05</v>
      </c>
      <c r="Z233" s="1210">
        <v>0.16</v>
      </c>
      <c r="AA233" s="1210">
        <v>0.16</v>
      </c>
      <c r="AB233" s="1210">
        <v>0.16</v>
      </c>
      <c r="AC233" s="1210">
        <v>0.2</v>
      </c>
      <c r="AD233" s="1210">
        <v>0.2</v>
      </c>
      <c r="AE233" s="1060">
        <v>0.08</v>
      </c>
      <c r="AF233" s="1060">
        <v>0.08</v>
      </c>
      <c r="AG233" s="1210">
        <v>0.16</v>
      </c>
      <c r="AH233" s="1210">
        <v>0.16</v>
      </c>
      <c r="AI233" s="1210"/>
      <c r="AJ233" s="1192"/>
      <c r="AM233" s="1210"/>
      <c r="AN233" s="1210"/>
      <c r="AW233" s="1181"/>
      <c r="AY233" s="1184"/>
      <c r="AZ233" s="1189">
        <v>429</v>
      </c>
      <c r="BA233" s="1172">
        <v>0</v>
      </c>
      <c r="BB233" s="1188">
        <v>8.0299999999999994</v>
      </c>
      <c r="BC233" s="1187">
        <v>5</v>
      </c>
      <c r="BD233" s="1172">
        <v>0</v>
      </c>
      <c r="BE233" s="1172">
        <v>0</v>
      </c>
      <c r="BF233" s="1172">
        <v>0</v>
      </c>
      <c r="BG233" s="1172">
        <v>0</v>
      </c>
      <c r="BH233" s="1172">
        <v>0</v>
      </c>
      <c r="BI233" s="1172">
        <v>0</v>
      </c>
      <c r="BJ233" s="1185" t="s">
        <v>1348</v>
      </c>
      <c r="BK233" s="1185"/>
      <c r="BL233" s="1185" t="s">
        <v>1390</v>
      </c>
      <c r="BM233" s="1185"/>
      <c r="BN233" s="1186"/>
      <c r="BO233" s="1185" t="s">
        <v>2218</v>
      </c>
      <c r="BP233" s="1185"/>
      <c r="BQ233" s="1185"/>
      <c r="BR233" s="1185"/>
      <c r="BS233" s="1185"/>
      <c r="BT233" s="1185"/>
      <c r="BU233" s="1185"/>
      <c r="BW233" s="1181"/>
    </row>
    <row r="234" spans="21:75">
      <c r="U234" s="1184"/>
      <c r="W234" s="1060" t="s">
        <v>91</v>
      </c>
      <c r="X234" s="1209">
        <v>0.01</v>
      </c>
      <c r="Y234" s="1152">
        <v>0.03</v>
      </c>
      <c r="Z234" s="1210">
        <v>0.18</v>
      </c>
      <c r="AA234" s="1210">
        <v>0.18</v>
      </c>
      <c r="AB234" s="1210">
        <v>0.18</v>
      </c>
      <c r="AC234" s="1210">
        <v>0.17</v>
      </c>
      <c r="AD234" s="1210">
        <v>0.17</v>
      </c>
      <c r="AE234" s="1060">
        <v>0.1</v>
      </c>
      <c r="AF234" s="1060">
        <v>0.1</v>
      </c>
      <c r="AG234" s="1210">
        <v>0.18</v>
      </c>
      <c r="AH234" s="1210">
        <v>0.18</v>
      </c>
      <c r="AI234" s="1210"/>
      <c r="AJ234" s="1192"/>
      <c r="AM234" s="1210"/>
      <c r="AN234" s="1210"/>
      <c r="AW234" s="1181"/>
      <c r="AY234" s="1184"/>
      <c r="AZ234" s="1189">
        <v>430</v>
      </c>
      <c r="BA234" s="1172">
        <v>0</v>
      </c>
      <c r="BB234" s="1188">
        <v>12.47</v>
      </c>
      <c r="BC234" s="1187">
        <v>5.9</v>
      </c>
      <c r="BD234" s="1172">
        <v>0</v>
      </c>
      <c r="BE234" s="1172">
        <v>0</v>
      </c>
      <c r="BF234" s="1172">
        <v>0</v>
      </c>
      <c r="BG234" s="1172">
        <v>0</v>
      </c>
      <c r="BH234" s="1172">
        <v>0</v>
      </c>
      <c r="BI234" s="1172">
        <v>0</v>
      </c>
      <c r="BJ234" s="1185" t="s">
        <v>1894</v>
      </c>
      <c r="BK234" s="1185"/>
      <c r="BL234" s="1185" t="s">
        <v>1387</v>
      </c>
      <c r="BM234" s="1185"/>
      <c r="BN234" s="1186"/>
      <c r="BO234" s="1185" t="s">
        <v>2217</v>
      </c>
      <c r="BP234" s="1185"/>
      <c r="BQ234" s="1185"/>
      <c r="BR234" s="1185"/>
      <c r="BS234" s="1185"/>
      <c r="BT234" s="1185"/>
      <c r="BU234" s="1185"/>
      <c r="BW234" s="1181"/>
    </row>
    <row r="235" spans="21:75">
      <c r="U235" s="1184"/>
      <c r="W235" s="1060" t="s">
        <v>92</v>
      </c>
      <c r="X235" s="1209">
        <v>0.01</v>
      </c>
      <c r="Y235" s="1152">
        <v>0.02</v>
      </c>
      <c r="Z235" s="1210">
        <v>0.18</v>
      </c>
      <c r="AA235" s="1210">
        <v>0.18</v>
      </c>
      <c r="AB235" s="1210">
        <v>0.18</v>
      </c>
      <c r="AC235" s="1152">
        <v>0.01</v>
      </c>
      <c r="AD235" s="1152">
        <v>0.01</v>
      </c>
      <c r="AE235" s="1060">
        <v>0.1</v>
      </c>
      <c r="AF235" s="1060">
        <v>0.1</v>
      </c>
      <c r="AG235" s="1210">
        <v>0.18</v>
      </c>
      <c r="AH235" s="1210">
        <v>0.18</v>
      </c>
      <c r="AI235" s="1210"/>
      <c r="AJ235" s="1192"/>
      <c r="AM235" s="1152"/>
      <c r="AN235" s="1152"/>
      <c r="AW235" s="1181"/>
      <c r="AY235" s="1184"/>
      <c r="AZ235" s="1189">
        <v>431</v>
      </c>
      <c r="BA235" s="1172">
        <v>0</v>
      </c>
      <c r="BB235" s="1188">
        <v>2.76</v>
      </c>
      <c r="BC235" s="1187">
        <v>6.2</v>
      </c>
      <c r="BD235" s="1172">
        <v>0</v>
      </c>
      <c r="BE235" s="1172">
        <v>0</v>
      </c>
      <c r="BF235" s="1172">
        <v>0</v>
      </c>
      <c r="BG235" s="1172">
        <v>0</v>
      </c>
      <c r="BH235" s="1172">
        <v>0</v>
      </c>
      <c r="BI235" s="1172">
        <v>0</v>
      </c>
      <c r="BJ235" s="1185" t="s">
        <v>1894</v>
      </c>
      <c r="BK235" s="1185"/>
      <c r="BL235" s="1185" t="s">
        <v>1387</v>
      </c>
      <c r="BM235" s="1185"/>
      <c r="BN235" s="1186"/>
      <c r="BO235" s="1185" t="s">
        <v>2216</v>
      </c>
      <c r="BP235" s="1185"/>
      <c r="BQ235" s="1185"/>
      <c r="BR235" s="1185"/>
      <c r="BS235" s="1185"/>
      <c r="BT235" s="1185"/>
      <c r="BU235" s="1185"/>
      <c r="BW235" s="1181"/>
    </row>
    <row r="236" spans="21:75">
      <c r="U236" s="1184"/>
      <c r="W236" s="1060" t="s">
        <v>93</v>
      </c>
      <c r="X236" s="1209">
        <v>0.01</v>
      </c>
      <c r="Y236" s="1152">
        <v>0.02</v>
      </c>
      <c r="Z236" s="1210">
        <v>0.12</v>
      </c>
      <c r="AA236" s="1210">
        <v>0.12</v>
      </c>
      <c r="AB236" s="1210">
        <v>0.12</v>
      </c>
      <c r="AC236" s="1152">
        <v>0.01</v>
      </c>
      <c r="AD236" s="1152">
        <v>0.01</v>
      </c>
      <c r="AE236" s="1060">
        <v>0.1</v>
      </c>
      <c r="AF236" s="1060">
        <v>0.1</v>
      </c>
      <c r="AG236" s="1210">
        <v>0.12</v>
      </c>
      <c r="AH236" s="1210">
        <v>0.12</v>
      </c>
      <c r="AI236" s="1210"/>
      <c r="AJ236" s="1192"/>
      <c r="AM236" s="1152"/>
      <c r="AN236" s="1152"/>
      <c r="AW236" s="1181"/>
      <c r="AY236" s="1184"/>
      <c r="AZ236" s="1189">
        <v>432</v>
      </c>
      <c r="BA236" s="1172">
        <v>0</v>
      </c>
      <c r="BB236" s="1188">
        <v>11.97</v>
      </c>
      <c r="BC236" s="1187">
        <v>5.2</v>
      </c>
      <c r="BD236" s="1172">
        <v>0</v>
      </c>
      <c r="BE236" s="1172">
        <v>0</v>
      </c>
      <c r="BF236" s="1172">
        <v>0</v>
      </c>
      <c r="BG236" s="1172">
        <v>0</v>
      </c>
      <c r="BH236" s="1172">
        <v>0</v>
      </c>
      <c r="BI236" s="1172">
        <v>0</v>
      </c>
      <c r="BJ236" s="1185" t="s">
        <v>1348</v>
      </c>
      <c r="BK236" s="1185"/>
      <c r="BL236" s="1185" t="s">
        <v>1390</v>
      </c>
      <c r="BM236" s="1185"/>
      <c r="BN236" s="1186"/>
      <c r="BO236" s="1185" t="s">
        <v>2215</v>
      </c>
      <c r="BP236" s="1185"/>
      <c r="BQ236" s="1185"/>
      <c r="BR236" s="1185"/>
      <c r="BS236" s="1185"/>
      <c r="BT236" s="1185"/>
      <c r="BU236" s="1185"/>
      <c r="BW236" s="1181"/>
    </row>
    <row r="237" spans="21:75">
      <c r="U237" s="1184"/>
      <c r="W237" s="1060" t="s">
        <v>94</v>
      </c>
      <c r="X237" s="1209">
        <v>0.01</v>
      </c>
      <c r="Y237" s="1152">
        <v>0.03</v>
      </c>
      <c r="Z237" s="1210">
        <v>0.11</v>
      </c>
      <c r="AA237" s="1210">
        <v>0.11</v>
      </c>
      <c r="AB237" s="1210">
        <v>0.11</v>
      </c>
      <c r="AC237" s="1152">
        <v>0.01</v>
      </c>
      <c r="AD237" s="1152">
        <v>0.01</v>
      </c>
      <c r="AE237" s="1060">
        <v>0.1</v>
      </c>
      <c r="AF237" s="1060">
        <v>0.1</v>
      </c>
      <c r="AG237" s="1210">
        <v>0.11</v>
      </c>
      <c r="AH237" s="1210">
        <v>0.11</v>
      </c>
      <c r="AI237" s="1210"/>
      <c r="AJ237" s="1192"/>
      <c r="AM237" s="1152"/>
      <c r="AN237" s="1152"/>
      <c r="AW237" s="1181"/>
      <c r="AY237" s="1184"/>
      <c r="AZ237" s="1189">
        <v>433</v>
      </c>
      <c r="BA237" s="1185">
        <v>5</v>
      </c>
      <c r="BB237" s="1188">
        <v>7.15</v>
      </c>
      <c r="BC237" s="1187">
        <v>5.2</v>
      </c>
      <c r="BD237" s="1172">
        <v>4000</v>
      </c>
      <c r="BE237" s="1172">
        <v>5000</v>
      </c>
      <c r="BF237" s="1172">
        <v>6000</v>
      </c>
      <c r="BG237" s="1172">
        <v>8000</v>
      </c>
      <c r="BH237" s="1172">
        <v>12000</v>
      </c>
      <c r="BI237" s="1172">
        <v>16000</v>
      </c>
      <c r="BJ237" s="1185" t="s">
        <v>1894</v>
      </c>
      <c r="BK237" s="1185"/>
      <c r="BL237" s="1185" t="s">
        <v>1390</v>
      </c>
      <c r="BM237" s="1185"/>
      <c r="BN237" s="1186">
        <v>0.6</v>
      </c>
      <c r="BO237" s="1185" t="s">
        <v>2214</v>
      </c>
      <c r="BP237" s="1185"/>
      <c r="BQ237" s="1185"/>
      <c r="BR237" s="1185"/>
      <c r="BS237" s="1185"/>
      <c r="BT237" s="1172"/>
      <c r="BU237" s="1185"/>
      <c r="BW237" s="1181"/>
    </row>
    <row r="238" spans="21:75">
      <c r="U238" s="1184"/>
      <c r="W238" s="1060" t="s">
        <v>95</v>
      </c>
      <c r="X238" s="1209">
        <v>0.08</v>
      </c>
      <c r="Y238" s="1152">
        <v>0.04</v>
      </c>
      <c r="Z238" s="1152">
        <v>0.05</v>
      </c>
      <c r="AA238" s="1152">
        <v>0.05</v>
      </c>
      <c r="AB238" s="1152">
        <v>0.05</v>
      </c>
      <c r="AC238" s="1152">
        <v>0.01</v>
      </c>
      <c r="AD238" s="1152">
        <v>0.01</v>
      </c>
      <c r="AE238" s="1060">
        <v>0.08</v>
      </c>
      <c r="AF238" s="1060">
        <v>0.08</v>
      </c>
      <c r="AG238" s="1152">
        <v>0.05</v>
      </c>
      <c r="AH238" s="1152">
        <v>0.05</v>
      </c>
      <c r="AI238" s="1152"/>
      <c r="AJ238" s="1192"/>
      <c r="AM238" s="1152"/>
      <c r="AN238" s="1152"/>
      <c r="AW238" s="1181"/>
      <c r="AY238" s="1184"/>
      <c r="AZ238" s="1189">
        <v>434</v>
      </c>
      <c r="BA238" s="1185">
        <v>8</v>
      </c>
      <c r="BB238" s="1188">
        <v>8.0299999999999994</v>
      </c>
      <c r="BC238" s="1187">
        <v>5</v>
      </c>
      <c r="BD238" s="1172">
        <v>6000</v>
      </c>
      <c r="BE238" s="1172">
        <v>7000</v>
      </c>
      <c r="BF238" s="1172">
        <v>8000</v>
      </c>
      <c r="BG238" s="1172">
        <v>9000</v>
      </c>
      <c r="BH238" s="1172">
        <v>12000</v>
      </c>
      <c r="BI238" s="1172">
        <v>15000</v>
      </c>
      <c r="BJ238" s="1185" t="s">
        <v>1348</v>
      </c>
      <c r="BK238" s="1185"/>
      <c r="BL238" s="1185" t="s">
        <v>1390</v>
      </c>
      <c r="BM238" s="1185"/>
      <c r="BN238" s="1186"/>
      <c r="BO238" s="1185" t="s">
        <v>2213</v>
      </c>
      <c r="BP238" s="1185"/>
      <c r="BQ238" s="1185"/>
      <c r="BR238" s="1185"/>
      <c r="BS238" s="1185"/>
      <c r="BT238" s="1172"/>
      <c r="BU238" s="1185"/>
      <c r="BW238" s="1181"/>
    </row>
    <row r="239" spans="21:75">
      <c r="U239" s="1184"/>
      <c r="W239" s="1174" t="s">
        <v>96</v>
      </c>
      <c r="X239" s="1208">
        <v>0.2</v>
      </c>
      <c r="Y239" s="1178">
        <v>0.06</v>
      </c>
      <c r="Z239" s="1178">
        <v>0.03</v>
      </c>
      <c r="AA239" s="1178">
        <v>0.03</v>
      </c>
      <c r="AB239" s="1178">
        <v>0.03</v>
      </c>
      <c r="AC239" s="1178">
        <v>0.01</v>
      </c>
      <c r="AD239" s="1178">
        <v>0.01</v>
      </c>
      <c r="AE239" s="1174">
        <v>0.08</v>
      </c>
      <c r="AF239" s="1174">
        <v>0.08</v>
      </c>
      <c r="AG239" s="1207">
        <v>0.03</v>
      </c>
      <c r="AH239" s="1207">
        <v>0.03</v>
      </c>
      <c r="AI239" s="1152"/>
      <c r="AJ239" s="1192"/>
      <c r="AM239" s="1152"/>
      <c r="AN239" s="1152"/>
      <c r="AW239" s="1181"/>
      <c r="AY239" s="1184"/>
      <c r="AZ239" s="1189">
        <v>435</v>
      </c>
      <c r="BA239" s="1185">
        <v>5</v>
      </c>
      <c r="BB239" s="1188">
        <v>2.6</v>
      </c>
      <c r="BC239" s="1187">
        <v>6.4</v>
      </c>
      <c r="BD239" s="1172">
        <v>4000</v>
      </c>
      <c r="BE239" s="1172">
        <v>5000</v>
      </c>
      <c r="BF239" s="1172">
        <v>6000</v>
      </c>
      <c r="BG239" s="1172">
        <v>8000</v>
      </c>
      <c r="BH239" s="1172">
        <v>12000</v>
      </c>
      <c r="BI239" s="1172">
        <v>16000</v>
      </c>
      <c r="BJ239" s="1185" t="s">
        <v>1894</v>
      </c>
      <c r="BK239" s="1185"/>
      <c r="BL239" s="1185" t="s">
        <v>1333</v>
      </c>
      <c r="BM239" s="1185"/>
      <c r="BN239" s="1186"/>
      <c r="BO239" s="1185" t="s">
        <v>2212</v>
      </c>
      <c r="BP239" s="1185"/>
      <c r="BQ239" s="1185"/>
      <c r="BR239" s="1185"/>
      <c r="BS239" s="1185"/>
      <c r="BT239" s="1185"/>
      <c r="BU239" s="1185"/>
      <c r="BW239" s="1181"/>
    </row>
    <row r="240" spans="21:75">
      <c r="U240" s="1184"/>
      <c r="W240" s="1206" t="s">
        <v>76</v>
      </c>
      <c r="X240" s="1205">
        <f t="shared" ref="X240:AH240" si="49">SUM(X228:X239)</f>
        <v>1</v>
      </c>
      <c r="Y240" s="1204">
        <f t="shared" si="49"/>
        <v>1.0000000000000002</v>
      </c>
      <c r="Z240" s="1204">
        <f t="shared" si="49"/>
        <v>1</v>
      </c>
      <c r="AA240" s="1204">
        <f t="shared" si="49"/>
        <v>1</v>
      </c>
      <c r="AB240" s="1204">
        <f t="shared" si="49"/>
        <v>1</v>
      </c>
      <c r="AC240" s="1204">
        <f t="shared" si="49"/>
        <v>1</v>
      </c>
      <c r="AD240" s="1204">
        <f t="shared" si="49"/>
        <v>1</v>
      </c>
      <c r="AE240" s="1204">
        <f t="shared" si="49"/>
        <v>0.99999999999999989</v>
      </c>
      <c r="AF240" s="1204">
        <f t="shared" si="49"/>
        <v>0.99999999999999989</v>
      </c>
      <c r="AG240" s="1204">
        <f t="shared" si="49"/>
        <v>1</v>
      </c>
      <c r="AH240" s="1204">
        <f t="shared" si="49"/>
        <v>1</v>
      </c>
      <c r="AI240" s="1192"/>
      <c r="AJ240" s="1192"/>
      <c r="AM240" s="1204"/>
      <c r="AN240" s="1204"/>
      <c r="AW240" s="1181"/>
      <c r="AY240" s="1184"/>
      <c r="AZ240" s="1189">
        <v>436</v>
      </c>
      <c r="BA240" s="1185">
        <v>5</v>
      </c>
      <c r="BB240" s="1188">
        <v>2.6</v>
      </c>
      <c r="BC240" s="1187">
        <v>6.4</v>
      </c>
      <c r="BD240" s="1172">
        <v>4000</v>
      </c>
      <c r="BE240" s="1172">
        <v>5000</v>
      </c>
      <c r="BF240" s="1172">
        <v>6000</v>
      </c>
      <c r="BG240" s="1172">
        <v>8000</v>
      </c>
      <c r="BH240" s="1172">
        <v>12000</v>
      </c>
      <c r="BI240" s="1172">
        <v>16000</v>
      </c>
      <c r="BJ240" s="1185" t="s">
        <v>1894</v>
      </c>
      <c r="BK240" s="1185"/>
      <c r="BL240" s="1185" t="s">
        <v>1333</v>
      </c>
      <c r="BM240" s="1185"/>
      <c r="BN240" s="1186"/>
      <c r="BO240" s="1185" t="s">
        <v>2211</v>
      </c>
      <c r="BP240" s="1185"/>
      <c r="BQ240" s="1185"/>
      <c r="BR240" s="1185"/>
      <c r="BS240" s="1185"/>
      <c r="BT240" s="1185"/>
      <c r="BU240" s="1185"/>
      <c r="BW240" s="1181"/>
    </row>
    <row r="241" spans="21:75">
      <c r="U241" s="1184"/>
      <c r="W241" s="1192"/>
      <c r="X241" s="1192"/>
      <c r="Y241" s="1192"/>
      <c r="Z241" s="1192"/>
      <c r="AA241" s="1192"/>
      <c r="AB241" s="1192"/>
      <c r="AC241" s="1192"/>
      <c r="AD241" s="1192"/>
      <c r="AE241" s="1192"/>
      <c r="AF241" s="1192"/>
      <c r="AG241" s="1192"/>
      <c r="AH241" s="1192"/>
      <c r="AI241" s="1192"/>
      <c r="AJ241" s="1192"/>
      <c r="AW241" s="1181"/>
      <c r="AY241" s="1184"/>
      <c r="AZ241" s="1189">
        <v>437</v>
      </c>
      <c r="BA241" s="1185">
        <v>5</v>
      </c>
      <c r="BB241" s="1188">
        <v>2.6</v>
      </c>
      <c r="BC241" s="1187">
        <v>6.4</v>
      </c>
      <c r="BD241" s="1172">
        <v>4000</v>
      </c>
      <c r="BE241" s="1172">
        <v>5000</v>
      </c>
      <c r="BF241" s="1172">
        <v>6000</v>
      </c>
      <c r="BG241" s="1172">
        <v>8000</v>
      </c>
      <c r="BH241" s="1172">
        <v>12000</v>
      </c>
      <c r="BI241" s="1172">
        <v>16000</v>
      </c>
      <c r="BJ241" s="1185" t="s">
        <v>1894</v>
      </c>
      <c r="BK241" s="1185"/>
      <c r="BL241" s="1185" t="s">
        <v>1333</v>
      </c>
      <c r="BM241" s="1185"/>
      <c r="BN241" s="1186"/>
      <c r="BO241" s="1185" t="s">
        <v>2210</v>
      </c>
      <c r="BP241" s="1185"/>
      <c r="BQ241" s="1185"/>
      <c r="BR241" s="1185"/>
      <c r="BS241" s="1185"/>
      <c r="BT241" s="1185"/>
      <c r="BU241" s="1185"/>
      <c r="BW241" s="1181"/>
    </row>
    <row r="242" spans="21:75">
      <c r="U242" s="1184"/>
      <c r="W242" s="1192"/>
      <c r="X242" s="1192"/>
      <c r="Y242" s="1192"/>
      <c r="Z242" s="1192"/>
      <c r="AA242" s="1192"/>
      <c r="AB242" s="1192"/>
      <c r="AC242" s="1192"/>
      <c r="AD242" s="1192"/>
      <c r="AE242" s="1192"/>
      <c r="AF242" s="1192"/>
      <c r="AG242" s="1192"/>
      <c r="AH242" s="1192"/>
      <c r="AI242" s="1192"/>
      <c r="AJ242" s="1192"/>
      <c r="AW242" s="1181"/>
      <c r="AY242" s="1184"/>
      <c r="AZ242" s="1189">
        <v>438</v>
      </c>
      <c r="BA242" s="1185">
        <v>5</v>
      </c>
      <c r="BB242" s="1188">
        <v>2.6</v>
      </c>
      <c r="BC242" s="1187">
        <v>6.4</v>
      </c>
      <c r="BD242" s="1172">
        <v>4000</v>
      </c>
      <c r="BE242" s="1172">
        <v>5000</v>
      </c>
      <c r="BF242" s="1172">
        <v>6000</v>
      </c>
      <c r="BG242" s="1172">
        <v>8000</v>
      </c>
      <c r="BH242" s="1172">
        <v>12000</v>
      </c>
      <c r="BI242" s="1172">
        <v>16000</v>
      </c>
      <c r="BJ242" s="1185" t="s">
        <v>1894</v>
      </c>
      <c r="BK242" s="1185"/>
      <c r="BL242" s="1185" t="s">
        <v>1333</v>
      </c>
      <c r="BM242" s="1185"/>
      <c r="BN242" s="1186"/>
      <c r="BO242" s="1185" t="s">
        <v>2209</v>
      </c>
      <c r="BP242" s="1185"/>
      <c r="BQ242" s="1185"/>
      <c r="BR242" s="1185"/>
      <c r="BS242" s="1185"/>
      <c r="BT242" s="1185"/>
      <c r="BU242" s="1185"/>
      <c r="BW242" s="1181"/>
    </row>
    <row r="243" spans="21:75">
      <c r="U243" s="1184"/>
      <c r="W243" s="1200" t="s">
        <v>2208</v>
      </c>
      <c r="X243" s="1196"/>
      <c r="Y243" s="1196"/>
      <c r="Z243" s="1196"/>
      <c r="AA243" s="1192"/>
      <c r="AB243" s="1196"/>
      <c r="AC243" s="1196"/>
      <c r="AD243" s="1196"/>
      <c r="AE243" s="1196"/>
      <c r="AF243" s="1196"/>
      <c r="AG243" s="1196"/>
      <c r="AH243" s="1196"/>
      <c r="AI243" s="1192"/>
      <c r="AJ243" s="1192"/>
      <c r="AW243" s="1181"/>
      <c r="AY243" s="1184"/>
      <c r="AZ243" s="1189">
        <v>439</v>
      </c>
      <c r="BA243" s="1185">
        <v>5</v>
      </c>
      <c r="BB243" s="1188">
        <v>7.15</v>
      </c>
      <c r="BC243" s="1187">
        <v>5.2</v>
      </c>
      <c r="BD243" s="1172">
        <v>4000</v>
      </c>
      <c r="BE243" s="1172">
        <v>5000</v>
      </c>
      <c r="BF243" s="1172">
        <v>6000</v>
      </c>
      <c r="BG243" s="1172">
        <v>8000</v>
      </c>
      <c r="BH243" s="1172">
        <v>12000</v>
      </c>
      <c r="BI243" s="1172">
        <v>16000</v>
      </c>
      <c r="BJ243" s="1185" t="s">
        <v>1894</v>
      </c>
      <c r="BK243" s="1185"/>
      <c r="BL243" s="1185" t="s">
        <v>1390</v>
      </c>
      <c r="BM243" s="1185"/>
      <c r="BN243" s="1186"/>
      <c r="BO243" s="1185" t="s">
        <v>2207</v>
      </c>
      <c r="BP243" s="1185"/>
      <c r="BQ243" s="1185"/>
      <c r="BR243" s="1185"/>
      <c r="BS243" s="1185"/>
      <c r="BT243" s="1185"/>
      <c r="BU243" s="1185"/>
      <c r="BW243" s="1181"/>
    </row>
    <row r="244" spans="21:75">
      <c r="U244" s="1184"/>
      <c r="W244" s="1173" t="s">
        <v>449</v>
      </c>
      <c r="X244" s="1196"/>
      <c r="Y244" s="1196"/>
      <c r="Z244" s="1196"/>
      <c r="AA244" s="1200" t="s">
        <v>749</v>
      </c>
      <c r="AB244" s="1192"/>
      <c r="AC244" s="1192"/>
      <c r="AD244" s="1196"/>
      <c r="AE244" s="1192"/>
      <c r="AF244" s="1192"/>
      <c r="AG244" s="1192"/>
      <c r="AH244" s="1196"/>
      <c r="AI244" s="1192"/>
      <c r="AJ244" s="1192"/>
      <c r="AW244" s="1181"/>
      <c r="AY244" s="1184"/>
      <c r="AZ244" s="1189">
        <v>440</v>
      </c>
      <c r="BA244" s="1185">
        <v>5</v>
      </c>
      <c r="BB244" s="1188">
        <v>7.15</v>
      </c>
      <c r="BC244" s="1187">
        <v>5.2</v>
      </c>
      <c r="BD244" s="1172">
        <v>4000</v>
      </c>
      <c r="BE244" s="1172">
        <v>5000</v>
      </c>
      <c r="BF244" s="1172">
        <v>6000</v>
      </c>
      <c r="BG244" s="1172">
        <v>8000</v>
      </c>
      <c r="BH244" s="1172">
        <v>12000</v>
      </c>
      <c r="BI244" s="1172">
        <v>16000</v>
      </c>
      <c r="BJ244" s="1185" t="s">
        <v>1894</v>
      </c>
      <c r="BK244" s="1185"/>
      <c r="BL244" s="1185" t="s">
        <v>1390</v>
      </c>
      <c r="BM244" s="1185"/>
      <c r="BN244" s="1186"/>
      <c r="BO244" s="1185" t="s">
        <v>2206</v>
      </c>
      <c r="BP244" s="1185"/>
      <c r="BQ244" s="1185"/>
      <c r="BR244" s="1185"/>
      <c r="BS244" s="1185"/>
      <c r="BT244" s="1185"/>
      <c r="BU244" s="1185"/>
      <c r="BW244" s="1181"/>
    </row>
    <row r="245" spans="21:75">
      <c r="U245" s="1184"/>
      <c r="W245" s="1203" t="s">
        <v>276</v>
      </c>
      <c r="X245" s="1202" t="e">
        <f>(HLOOKUP(AA$249,X$227:AH$239,2,0))*(HLOOKUP(AA$249,X$219:AH$222,4,0))</f>
        <v>#N/A</v>
      </c>
      <c r="Y245" s="1196"/>
      <c r="Z245" s="1196"/>
      <c r="AA245" s="1201">
        <f>INDEX($BA$5:$BA$1005,MATCH($C$4,$AZ$5:$AZ$1005,0),1)</f>
        <v>4</v>
      </c>
      <c r="AB245" s="1192"/>
      <c r="AC245" s="1192"/>
      <c r="AD245" s="1198"/>
      <c r="AE245" s="1192"/>
      <c r="AF245" s="1192"/>
      <c r="AG245" s="1192"/>
      <c r="AH245" s="1196"/>
      <c r="AI245" s="1192"/>
      <c r="AJ245" s="1192"/>
      <c r="AW245" s="1181"/>
      <c r="AY245" s="1184"/>
      <c r="AZ245" s="1189">
        <v>441</v>
      </c>
      <c r="BA245" s="1185">
        <v>5</v>
      </c>
      <c r="BB245" s="1188">
        <v>7.15</v>
      </c>
      <c r="BC245" s="1187">
        <v>5.2</v>
      </c>
      <c r="BD245" s="1172">
        <v>4000</v>
      </c>
      <c r="BE245" s="1172">
        <v>5000</v>
      </c>
      <c r="BF245" s="1172">
        <v>6000</v>
      </c>
      <c r="BG245" s="1172">
        <v>8000</v>
      </c>
      <c r="BH245" s="1172">
        <v>12000</v>
      </c>
      <c r="BI245" s="1172">
        <v>16000</v>
      </c>
      <c r="BJ245" s="1185" t="s">
        <v>1894</v>
      </c>
      <c r="BK245" s="1185"/>
      <c r="BL245" s="1185" t="s">
        <v>1390</v>
      </c>
      <c r="BM245" s="1185"/>
      <c r="BN245" s="1186"/>
      <c r="BO245" s="1185" t="s">
        <v>2205</v>
      </c>
      <c r="BP245" s="1185"/>
      <c r="BQ245" s="1185"/>
      <c r="BR245" s="1185"/>
      <c r="BS245" s="1185"/>
      <c r="BT245" s="1185"/>
      <c r="BU245" s="1185"/>
      <c r="BW245" s="1181"/>
    </row>
    <row r="246" spans="21:75">
      <c r="U246" s="1184"/>
      <c r="W246" s="1060" t="s">
        <v>277</v>
      </c>
      <c r="X246" s="1195" t="e">
        <f>(HLOOKUP(AA$249,X$227:AH$239,3,0))*(HLOOKUP(AA$249,X$219:AH$222,4,0))</f>
        <v>#N/A</v>
      </c>
      <c r="Y246" s="1196"/>
      <c r="Z246" s="1196"/>
      <c r="AA246" s="1192"/>
      <c r="AB246" s="1192"/>
      <c r="AC246" s="1192"/>
      <c r="AD246" s="1198"/>
      <c r="AE246" s="1196"/>
      <c r="AF246" s="1196"/>
      <c r="AG246" s="1196"/>
      <c r="AH246" s="1196"/>
      <c r="AI246" s="1192"/>
      <c r="AJ246" s="1192"/>
      <c r="AW246" s="1181"/>
      <c r="AY246" s="1184"/>
      <c r="AZ246" s="1189">
        <v>442</v>
      </c>
      <c r="BA246" s="1185">
        <v>5</v>
      </c>
      <c r="BB246" s="1188">
        <v>11.97</v>
      </c>
      <c r="BC246" s="1187">
        <v>5.2</v>
      </c>
      <c r="BD246" s="1172">
        <v>4000</v>
      </c>
      <c r="BE246" s="1172">
        <v>5000</v>
      </c>
      <c r="BF246" s="1172">
        <v>6000</v>
      </c>
      <c r="BG246" s="1172">
        <v>8000</v>
      </c>
      <c r="BH246" s="1172">
        <v>12000</v>
      </c>
      <c r="BI246" s="1172">
        <v>16000</v>
      </c>
      <c r="BJ246" s="1185" t="s">
        <v>1348</v>
      </c>
      <c r="BK246" s="1185"/>
      <c r="BL246" s="1185" t="s">
        <v>1390</v>
      </c>
      <c r="BM246" s="1185"/>
      <c r="BN246" s="1186"/>
      <c r="BO246" s="1185" t="s">
        <v>2204</v>
      </c>
      <c r="BP246" s="1185"/>
      <c r="BQ246" s="1185"/>
      <c r="BR246" s="1185"/>
      <c r="BS246" s="1185"/>
      <c r="BT246" s="1185"/>
      <c r="BU246" s="1185"/>
      <c r="BW246" s="1181"/>
    </row>
    <row r="247" spans="21:75">
      <c r="U247" s="1184"/>
      <c r="W247" s="1060" t="s">
        <v>88</v>
      </c>
      <c r="X247" s="1195" t="e">
        <f>(HLOOKUP(AA$249,X$227:AH$239,4,0))*(HLOOKUP(AA$249,X$219:AH$222,4,0))</f>
        <v>#N/A</v>
      </c>
      <c r="Y247" s="1196"/>
      <c r="Z247" s="1196"/>
      <c r="AA247" s="1192"/>
      <c r="AB247" s="1192"/>
      <c r="AC247" s="1192"/>
      <c r="AD247" s="1198"/>
      <c r="AE247" s="1196"/>
      <c r="AF247" s="1196"/>
      <c r="AG247" s="1196"/>
      <c r="AH247" s="1196"/>
      <c r="AI247" s="1192"/>
      <c r="AJ247" s="1192"/>
      <c r="AW247" s="1181"/>
      <c r="AY247" s="1184"/>
      <c r="AZ247" s="1189">
        <v>443</v>
      </c>
      <c r="BA247" s="1185">
        <v>5</v>
      </c>
      <c r="BB247" s="1188">
        <v>11.97</v>
      </c>
      <c r="BC247" s="1187">
        <v>5.2</v>
      </c>
      <c r="BD247" s="1172">
        <v>4000</v>
      </c>
      <c r="BE247" s="1172">
        <v>5000</v>
      </c>
      <c r="BF247" s="1172">
        <v>6000</v>
      </c>
      <c r="BG247" s="1172">
        <v>8000</v>
      </c>
      <c r="BH247" s="1172">
        <v>12000</v>
      </c>
      <c r="BI247" s="1172">
        <v>16000</v>
      </c>
      <c r="BJ247" s="1185" t="s">
        <v>1348</v>
      </c>
      <c r="BK247" s="1185"/>
      <c r="BL247" s="1185" t="s">
        <v>1390</v>
      </c>
      <c r="BM247" s="1185"/>
      <c r="BN247" s="1186"/>
      <c r="BO247" s="1185" t="s">
        <v>2203</v>
      </c>
      <c r="BP247" s="1185"/>
      <c r="BQ247" s="1185"/>
      <c r="BR247" s="1185"/>
      <c r="BS247" s="1185"/>
      <c r="BT247" s="1185"/>
      <c r="BU247" s="1185"/>
      <c r="BW247" s="1181"/>
    </row>
    <row r="248" spans="21:75">
      <c r="U248" s="1184"/>
      <c r="W248" s="1060" t="s">
        <v>89</v>
      </c>
      <c r="X248" s="1195" t="e">
        <f>(HLOOKUP(AA$249,X$227:AH$239,5,0))*(HLOOKUP(AA$249,X$219:AH$222,4,0))</f>
        <v>#N/A</v>
      </c>
      <c r="Y248" s="1196"/>
      <c r="Z248" s="1196"/>
      <c r="AA248" s="1200" t="s">
        <v>919</v>
      </c>
      <c r="AB248" s="1192"/>
      <c r="AC248" s="1192"/>
      <c r="AD248" s="1198"/>
      <c r="AE248" s="1196"/>
      <c r="AF248" s="1192"/>
      <c r="AG248" s="1196"/>
      <c r="AH248" s="1196"/>
      <c r="AI248" s="1192"/>
      <c r="AJ248" s="1192"/>
      <c r="AW248" s="1181"/>
      <c r="AY248" s="1184"/>
      <c r="AZ248" s="1189">
        <v>444</v>
      </c>
      <c r="BA248" s="1185">
        <v>5</v>
      </c>
      <c r="BB248" s="1188">
        <v>11.97</v>
      </c>
      <c r="BC248" s="1187">
        <v>5.2</v>
      </c>
      <c r="BD248" s="1172">
        <v>4000</v>
      </c>
      <c r="BE248" s="1172">
        <v>5000</v>
      </c>
      <c r="BF248" s="1172">
        <v>6000</v>
      </c>
      <c r="BG248" s="1172">
        <v>8000</v>
      </c>
      <c r="BH248" s="1172">
        <v>12000</v>
      </c>
      <c r="BI248" s="1172">
        <v>16000</v>
      </c>
      <c r="BJ248" s="1185" t="s">
        <v>1348</v>
      </c>
      <c r="BK248" s="1185"/>
      <c r="BL248" s="1185" t="s">
        <v>1390</v>
      </c>
      <c r="BM248" s="1185"/>
      <c r="BN248" s="1186"/>
      <c r="BO248" s="1185" t="s">
        <v>2202</v>
      </c>
      <c r="BP248" s="1185"/>
      <c r="BQ248" s="1185"/>
      <c r="BR248" s="1185"/>
      <c r="BS248" s="1185"/>
      <c r="BT248" s="1185"/>
      <c r="BU248" s="1185"/>
      <c r="BW248" s="1181"/>
    </row>
    <row r="249" spans="21:75">
      <c r="U249" s="1184"/>
      <c r="W249" s="1060" t="s">
        <v>39</v>
      </c>
      <c r="X249" s="1195" t="e">
        <f>(HLOOKUP(AA$249,X$227:AH$239,6,0))*(HLOOKUP(AA$249,X$219:AH$222,4,0))</f>
        <v>#N/A</v>
      </c>
      <c r="Y249" s="1196"/>
      <c r="Z249" s="1196"/>
      <c r="AA249" s="1199">
        <f>IF(AND(AND(D22&gt;=X220,D22&lt;X221),AA245=1),1,IF(AND(AND(D22&gt;=Y220,D22&lt;Y221),AA245=2),2,IF(AND(AND(D22&gt;=Z220,D22&lt;Z221),AA245=4),3,IF(AND(AND(D22&gt;=AA220,D22&lt;AA221),AA245=12),4,IF(AND(AND(D22&gt;=AB220,D22&lt;AB221),OR(AA245=8,AA245=11,AA245=12,AA245=13)),5,IF(AND(AND(D22&gt;=AC220,D22&lt;AC221),AA245=3),6,IF(AND(AND(D22&gt;=AD220,D22&lt;AD221),AA245=5),7,IF(AND(AND(D22&gt;=AE220,D22&lt;AE221),OR(AA245=7,AA245=10)),8,IF(AND(D22&gt;=AF220,OR(AA245=7,AA245=10)),9,IF(AND(D22&gt;=AG220,AA245=9),10,IF(AND(AND(D22&gt;=AH220,D22&lt;AH221),AA245=9),11,0)))))))))))</f>
        <v>0</v>
      </c>
      <c r="AB249" s="1192"/>
      <c r="AC249" s="1192"/>
      <c r="AD249" s="1198"/>
      <c r="AE249" s="1196"/>
      <c r="AF249" s="1192"/>
      <c r="AG249" s="1196"/>
      <c r="AH249" s="1196"/>
      <c r="AI249" s="1192"/>
      <c r="AJ249" s="1192"/>
      <c r="AW249" s="1181"/>
      <c r="AY249" s="1184"/>
      <c r="AZ249" s="1189">
        <v>445</v>
      </c>
      <c r="BA249" s="1172">
        <v>0</v>
      </c>
      <c r="BB249" s="1188">
        <v>7.15</v>
      </c>
      <c r="BC249" s="1187">
        <v>5.2</v>
      </c>
      <c r="BD249" s="1172">
        <v>0</v>
      </c>
      <c r="BE249" s="1172">
        <v>0</v>
      </c>
      <c r="BF249" s="1172">
        <v>0</v>
      </c>
      <c r="BG249" s="1172">
        <v>0</v>
      </c>
      <c r="BH249" s="1172">
        <v>0</v>
      </c>
      <c r="BI249" s="1172">
        <v>0</v>
      </c>
      <c r="BJ249" s="1185" t="s">
        <v>1894</v>
      </c>
      <c r="BK249" s="1185"/>
      <c r="BL249" s="1185" t="s">
        <v>1390</v>
      </c>
      <c r="BM249" s="1185"/>
      <c r="BN249" s="1186"/>
      <c r="BO249" s="1185" t="s">
        <v>2201</v>
      </c>
      <c r="BP249" s="1185"/>
      <c r="BQ249" s="1185"/>
      <c r="BR249" s="1185"/>
      <c r="BS249" s="1185"/>
      <c r="BT249" s="1185"/>
      <c r="BU249" s="1185"/>
      <c r="BW249" s="1181"/>
    </row>
    <row r="250" spans="21:75">
      <c r="U250" s="1184"/>
      <c r="W250" s="1060" t="s">
        <v>90</v>
      </c>
      <c r="X250" s="1195" t="e">
        <f>(HLOOKUP(AA$249,X$227:AH$239,7,0))*(HLOOKUP(AA$249,X$219:AH$222,4,0))</f>
        <v>#N/A</v>
      </c>
      <c r="Y250" s="1196"/>
      <c r="Z250" s="1196"/>
      <c r="AA250" s="1192"/>
      <c r="AB250" s="1192"/>
      <c r="AC250" s="1192"/>
      <c r="AD250" s="1198"/>
      <c r="AE250" s="1196"/>
      <c r="AF250" s="1196"/>
      <c r="AG250" s="1196"/>
      <c r="AH250" s="1196"/>
      <c r="AI250" s="1192"/>
      <c r="AJ250" s="1192"/>
      <c r="AW250" s="1181"/>
      <c r="AY250" s="1184"/>
      <c r="AZ250" s="1189">
        <v>446</v>
      </c>
      <c r="BA250" s="1172">
        <v>0</v>
      </c>
      <c r="BB250" s="1188">
        <v>1.3</v>
      </c>
      <c r="BC250" s="1187">
        <v>6.8</v>
      </c>
      <c r="BD250" s="1172">
        <v>0</v>
      </c>
      <c r="BE250" s="1172">
        <v>0</v>
      </c>
      <c r="BF250" s="1172">
        <v>0</v>
      </c>
      <c r="BG250" s="1172">
        <v>0</v>
      </c>
      <c r="BH250" s="1172">
        <v>0</v>
      </c>
      <c r="BI250" s="1172">
        <v>0</v>
      </c>
      <c r="BJ250" s="1185" t="s">
        <v>1894</v>
      </c>
      <c r="BK250" s="1185"/>
      <c r="BL250" s="1185" t="s">
        <v>1390</v>
      </c>
      <c r="BM250" s="1185"/>
      <c r="BN250" s="1186"/>
      <c r="BO250" s="1185" t="s">
        <v>2200</v>
      </c>
      <c r="BP250" s="1185"/>
      <c r="BQ250" s="1185"/>
      <c r="BR250" s="1185"/>
      <c r="BS250" s="1185"/>
      <c r="BT250" s="1185"/>
      <c r="BU250" s="1185"/>
      <c r="BW250" s="1181"/>
    </row>
    <row r="251" spans="21:75">
      <c r="U251" s="1184"/>
      <c r="W251" s="1060" t="s">
        <v>91</v>
      </c>
      <c r="X251" s="1195" t="e">
        <f>(HLOOKUP(AA$249,X$227:AH$239,8,0))*(HLOOKUP(AA$249,X$219:AH$222,4,0))</f>
        <v>#N/A</v>
      </c>
      <c r="Y251" s="1196"/>
      <c r="Z251" s="1196"/>
      <c r="AA251" s="1192"/>
      <c r="AB251" s="1192"/>
      <c r="AC251" s="1192"/>
      <c r="AD251" s="1197" t="s">
        <v>2199</v>
      </c>
      <c r="AE251" s="1196"/>
      <c r="AF251" s="1196"/>
      <c r="AG251" s="1196"/>
      <c r="AH251" s="1196"/>
      <c r="AI251" s="1192"/>
      <c r="AJ251" s="1192"/>
      <c r="AW251" s="1181"/>
      <c r="AY251" s="1184"/>
      <c r="AZ251" s="1189">
        <v>447</v>
      </c>
      <c r="BA251" s="1185">
        <v>5</v>
      </c>
      <c r="BB251" s="1188">
        <v>11.97</v>
      </c>
      <c r="BC251" s="1187">
        <v>5.2</v>
      </c>
      <c r="BD251" s="1172">
        <v>4000</v>
      </c>
      <c r="BE251" s="1172">
        <v>5000</v>
      </c>
      <c r="BF251" s="1172">
        <v>6000</v>
      </c>
      <c r="BG251" s="1172">
        <v>8000</v>
      </c>
      <c r="BH251" s="1172">
        <v>12000</v>
      </c>
      <c r="BI251" s="1172">
        <v>16000</v>
      </c>
      <c r="BJ251" s="1185" t="s">
        <v>1348</v>
      </c>
      <c r="BK251" s="1185"/>
      <c r="BL251" s="1185" t="s">
        <v>1390</v>
      </c>
      <c r="BM251" s="1185"/>
      <c r="BN251" s="1186">
        <v>0.2</v>
      </c>
      <c r="BO251" s="1185" t="s">
        <v>2198</v>
      </c>
      <c r="BP251" s="1185"/>
      <c r="BQ251" s="1185"/>
      <c r="BR251" s="1185"/>
      <c r="BS251" s="1185"/>
      <c r="BT251" s="1172"/>
      <c r="BU251" s="1185"/>
      <c r="BW251" s="1181"/>
    </row>
    <row r="252" spans="21:75">
      <c r="U252" s="1184"/>
      <c r="W252" s="1060" t="s">
        <v>92</v>
      </c>
      <c r="X252" s="1195" t="e">
        <f>(HLOOKUP(AA$249,X$227:AH$239,9,0))*(HLOOKUP(AA$249,X$219:AH$222,4,0))</f>
        <v>#N/A</v>
      </c>
      <c r="Y252" s="1196"/>
      <c r="Z252" s="1196"/>
      <c r="AA252" s="1192"/>
      <c r="AB252" s="1192"/>
      <c r="AC252" s="1192"/>
      <c r="AD252" s="1060" t="s">
        <v>2197</v>
      </c>
      <c r="AE252" s="1196"/>
      <c r="AF252" s="1196"/>
      <c r="AG252" s="1196"/>
      <c r="AH252" s="1196"/>
      <c r="AI252" s="1192"/>
      <c r="AJ252" s="1192"/>
      <c r="AW252" s="1181"/>
      <c r="AY252" s="1184"/>
      <c r="AZ252" s="1189">
        <v>448</v>
      </c>
      <c r="BA252" s="1185">
        <v>14</v>
      </c>
      <c r="BB252" s="1188">
        <v>12.35</v>
      </c>
      <c r="BC252" s="1187">
        <v>5.7</v>
      </c>
      <c r="BD252" s="1172">
        <v>1000</v>
      </c>
      <c r="BE252" s="1172">
        <v>1500</v>
      </c>
      <c r="BF252" s="1172">
        <v>2000</v>
      </c>
      <c r="BG252" s="1172">
        <v>2500</v>
      </c>
      <c r="BH252" s="1172">
        <v>3250</v>
      </c>
      <c r="BI252" s="1172">
        <v>4000</v>
      </c>
      <c r="BJ252" s="1185" t="s">
        <v>1892</v>
      </c>
      <c r="BK252" s="1185"/>
      <c r="BL252" s="1185" t="s">
        <v>1333</v>
      </c>
      <c r="BM252" s="1185"/>
      <c r="BN252" s="1186">
        <v>0.3</v>
      </c>
      <c r="BO252" s="1185" t="s">
        <v>2196</v>
      </c>
      <c r="BP252" s="1185"/>
      <c r="BQ252" s="1185"/>
      <c r="BR252" s="1185"/>
      <c r="BS252" s="1185"/>
      <c r="BT252" s="1185"/>
      <c r="BU252" s="1185"/>
      <c r="BW252" s="1181"/>
    </row>
    <row r="253" spans="21:75">
      <c r="U253" s="1184"/>
      <c r="W253" s="1060" t="s">
        <v>93</v>
      </c>
      <c r="X253" s="1195" t="e">
        <f>(HLOOKUP(AA$249,X$227:AH$239,10,0))*(HLOOKUP(AA$249,X$219:AH$222,4,0))</f>
        <v>#N/A</v>
      </c>
      <c r="Y253" s="1196"/>
      <c r="Z253" s="1196"/>
      <c r="AA253" s="1192"/>
      <c r="AB253" s="1192"/>
      <c r="AC253" s="1192"/>
      <c r="AD253" s="1060" t="s">
        <v>2195</v>
      </c>
      <c r="AE253" s="1196"/>
      <c r="AF253" s="1196"/>
      <c r="AG253" s="1196"/>
      <c r="AH253" s="1196"/>
      <c r="AI253" s="1192"/>
      <c r="AJ253" s="1192"/>
      <c r="AW253" s="1181"/>
      <c r="AY253" s="1184"/>
      <c r="AZ253" s="1189">
        <v>449</v>
      </c>
      <c r="BA253" s="1185">
        <v>14</v>
      </c>
      <c r="BB253" s="1188">
        <v>12.35</v>
      </c>
      <c r="BC253" s="1187">
        <v>5.7</v>
      </c>
      <c r="BD253" s="1172">
        <v>1000</v>
      </c>
      <c r="BE253" s="1172">
        <v>1500</v>
      </c>
      <c r="BF253" s="1172">
        <v>2000</v>
      </c>
      <c r="BG253" s="1172">
        <v>2500</v>
      </c>
      <c r="BH253" s="1172">
        <v>3250</v>
      </c>
      <c r="BI253" s="1172">
        <v>4000</v>
      </c>
      <c r="BJ253" s="1185" t="s">
        <v>1892</v>
      </c>
      <c r="BK253" s="1185"/>
      <c r="BL253" s="1185" t="s">
        <v>1333</v>
      </c>
      <c r="BM253" s="1185"/>
      <c r="BN253" s="1186">
        <v>0.3</v>
      </c>
      <c r="BO253" s="1185" t="s">
        <v>2194</v>
      </c>
      <c r="BP253" s="1185"/>
      <c r="BQ253" s="1190"/>
      <c r="BR253" s="1185"/>
      <c r="BS253" s="1172"/>
      <c r="BT253" s="1185"/>
      <c r="BU253" s="1185"/>
      <c r="BW253" s="1181"/>
    </row>
    <row r="254" spans="21:75">
      <c r="U254" s="1184"/>
      <c r="W254" s="1060" t="s">
        <v>94</v>
      </c>
      <c r="X254" s="1195" t="e">
        <f>(HLOOKUP(AA$249,X$227:AH$239,11,0))*(HLOOKUP(AA$249,X$219:AH$222,4,0))</f>
        <v>#N/A</v>
      </c>
      <c r="Y254" s="1196"/>
      <c r="Z254" s="1196"/>
      <c r="AA254" s="1192"/>
      <c r="AB254" s="1192"/>
      <c r="AC254" s="1192"/>
      <c r="AD254" s="1060" t="s">
        <v>2193</v>
      </c>
      <c r="AE254" s="1196"/>
      <c r="AF254" s="1196"/>
      <c r="AG254" s="1196"/>
      <c r="AH254" s="1196"/>
      <c r="AI254" s="1192"/>
      <c r="AJ254" s="1192"/>
      <c r="AW254" s="1181"/>
      <c r="AY254" s="1184"/>
      <c r="AZ254" s="1189">
        <v>450</v>
      </c>
      <c r="BA254" s="1185">
        <v>14</v>
      </c>
      <c r="BB254" s="1188">
        <v>12.35</v>
      </c>
      <c r="BC254" s="1187">
        <v>5.7</v>
      </c>
      <c r="BD254" s="1172">
        <v>1000</v>
      </c>
      <c r="BE254" s="1172">
        <v>1500</v>
      </c>
      <c r="BF254" s="1172">
        <v>2000</v>
      </c>
      <c r="BG254" s="1172">
        <v>2500</v>
      </c>
      <c r="BH254" s="1172">
        <v>3250</v>
      </c>
      <c r="BI254" s="1172">
        <v>4000</v>
      </c>
      <c r="BJ254" s="1185" t="s">
        <v>1892</v>
      </c>
      <c r="BK254" s="1185"/>
      <c r="BL254" s="1185" t="s">
        <v>1333</v>
      </c>
      <c r="BM254" s="1185"/>
      <c r="BN254" s="1186"/>
      <c r="BO254" s="1185" t="s">
        <v>2192</v>
      </c>
      <c r="BP254" s="1185"/>
      <c r="BQ254" s="1185"/>
      <c r="BR254" s="1185"/>
      <c r="BS254" s="1185"/>
      <c r="BT254" s="1172"/>
      <c r="BU254" s="1185"/>
      <c r="BW254" s="1181"/>
    </row>
    <row r="255" spans="21:75">
      <c r="U255" s="1184"/>
      <c r="W255" s="1060" t="s">
        <v>95</v>
      </c>
      <c r="X255" s="1195" t="e">
        <f>(HLOOKUP(AA$249,X$227:AH$239,12,0))*(HLOOKUP(AA$249,X$219:AH$222,4,0))</f>
        <v>#N/A</v>
      </c>
      <c r="Y255" s="1192"/>
      <c r="Z255" s="1192"/>
      <c r="AA255" s="1192"/>
      <c r="AB255" s="1192"/>
      <c r="AC255" s="1192"/>
      <c r="AD255" s="1060" t="s">
        <v>2191</v>
      </c>
      <c r="AE255" s="1192"/>
      <c r="AF255" s="1192"/>
      <c r="AG255" s="1192"/>
      <c r="AH255" s="1192"/>
      <c r="AI255" s="1192"/>
      <c r="AJ255" s="1192"/>
      <c r="AW255" s="1181"/>
      <c r="AY255" s="1184"/>
      <c r="AZ255" s="1189">
        <v>451</v>
      </c>
      <c r="BA255" s="1185">
        <v>14</v>
      </c>
      <c r="BB255" s="1188">
        <v>12.35</v>
      </c>
      <c r="BC255" s="1187">
        <v>5.7</v>
      </c>
      <c r="BD255" s="1172">
        <v>1000</v>
      </c>
      <c r="BE255" s="1172">
        <v>1500</v>
      </c>
      <c r="BF255" s="1172">
        <v>2000</v>
      </c>
      <c r="BG255" s="1172">
        <v>2500</v>
      </c>
      <c r="BH255" s="1172">
        <v>3250</v>
      </c>
      <c r="BI255" s="1172">
        <v>4000</v>
      </c>
      <c r="BJ255" s="1185" t="s">
        <v>1892</v>
      </c>
      <c r="BK255" s="1185"/>
      <c r="BL255" s="1185" t="s">
        <v>1333</v>
      </c>
      <c r="BM255" s="1185"/>
      <c r="BN255" s="1186"/>
      <c r="BO255" s="1185" t="s">
        <v>2190</v>
      </c>
      <c r="BP255" s="1185"/>
      <c r="BQ255" s="1185"/>
      <c r="BR255" s="1185"/>
      <c r="BS255" s="1185"/>
      <c r="BT255" s="1185"/>
      <c r="BU255" s="1185"/>
      <c r="BW255" s="1181"/>
    </row>
    <row r="256" spans="21:75">
      <c r="U256" s="1184"/>
      <c r="W256" s="1174" t="s">
        <v>96</v>
      </c>
      <c r="X256" s="1194" t="e">
        <f>(HLOOKUP(AA$249,X$227:AH$239,13,0))*(HLOOKUP(AA$249,X$219:AH$222,4,0))</f>
        <v>#N/A</v>
      </c>
      <c r="Y256" s="1192"/>
      <c r="Z256" s="1192"/>
      <c r="AA256" s="1192"/>
      <c r="AB256" s="1192"/>
      <c r="AC256" s="1192"/>
      <c r="AD256" s="1060" t="s">
        <v>2189</v>
      </c>
      <c r="AE256" s="1192"/>
      <c r="AF256" s="1192"/>
      <c r="AG256" s="1192"/>
      <c r="AH256" s="1192"/>
      <c r="AI256" s="1192"/>
      <c r="AJ256" s="1192"/>
      <c r="AW256" s="1181"/>
      <c r="AY256" s="1184"/>
      <c r="AZ256" s="1189">
        <v>452</v>
      </c>
      <c r="BA256" s="1185">
        <v>14</v>
      </c>
      <c r="BB256" s="1188">
        <v>12.35</v>
      </c>
      <c r="BC256" s="1187">
        <v>5.7</v>
      </c>
      <c r="BD256" s="1172">
        <v>1000</v>
      </c>
      <c r="BE256" s="1172">
        <v>1500</v>
      </c>
      <c r="BF256" s="1172">
        <v>2000</v>
      </c>
      <c r="BG256" s="1172">
        <v>2500</v>
      </c>
      <c r="BH256" s="1172">
        <v>3250</v>
      </c>
      <c r="BI256" s="1172">
        <v>4000</v>
      </c>
      <c r="BJ256" s="1185" t="s">
        <v>1892</v>
      </c>
      <c r="BK256" s="1185"/>
      <c r="BL256" s="1185" t="s">
        <v>1333</v>
      </c>
      <c r="BM256" s="1185"/>
      <c r="BN256" s="1186"/>
      <c r="BO256" s="1185" t="s">
        <v>2188</v>
      </c>
      <c r="BP256" s="1185"/>
      <c r="BQ256" s="1185"/>
      <c r="BR256" s="1185"/>
      <c r="BS256" s="1185"/>
      <c r="BT256" s="1185"/>
      <c r="BU256" s="1185"/>
      <c r="BW256" s="1181"/>
    </row>
    <row r="257" spans="21:75">
      <c r="U257" s="1184"/>
      <c r="W257" s="1192"/>
      <c r="X257" s="1192"/>
      <c r="Y257" s="1192"/>
      <c r="Z257" s="1192"/>
      <c r="AA257" s="1192"/>
      <c r="AB257" s="1192"/>
      <c r="AC257" s="1192"/>
      <c r="AD257" s="1193"/>
      <c r="AE257" s="1192"/>
      <c r="AF257" s="1192"/>
      <c r="AG257" s="1192"/>
      <c r="AH257" s="1192"/>
      <c r="AI257" s="1192"/>
      <c r="AJ257" s="1192"/>
      <c r="AW257" s="1181"/>
      <c r="AY257" s="1184"/>
      <c r="AZ257" s="1189">
        <v>453</v>
      </c>
      <c r="BA257" s="1185">
        <v>14</v>
      </c>
      <c r="BB257" s="1188">
        <v>12.35</v>
      </c>
      <c r="BC257" s="1187">
        <v>5.7</v>
      </c>
      <c r="BD257" s="1172">
        <v>1000</v>
      </c>
      <c r="BE257" s="1172">
        <v>1500</v>
      </c>
      <c r="BF257" s="1172">
        <v>2000</v>
      </c>
      <c r="BG257" s="1172">
        <v>2500</v>
      </c>
      <c r="BH257" s="1172">
        <v>3250</v>
      </c>
      <c r="BI257" s="1172">
        <v>4000</v>
      </c>
      <c r="BJ257" s="1185" t="s">
        <v>1892</v>
      </c>
      <c r="BK257" s="1185"/>
      <c r="BL257" s="1185" t="s">
        <v>1333</v>
      </c>
      <c r="BM257" s="1185"/>
      <c r="BN257" s="1186"/>
      <c r="BO257" s="1185" t="s">
        <v>2187</v>
      </c>
      <c r="BP257" s="1185"/>
      <c r="BQ257" s="1185"/>
      <c r="BR257" s="1185"/>
      <c r="BS257" s="1185"/>
      <c r="BT257" s="1185"/>
      <c r="BU257" s="1185"/>
      <c r="BW257" s="1181"/>
    </row>
    <row r="258" spans="21:75">
      <c r="U258" s="1184"/>
      <c r="AW258" s="1181"/>
      <c r="AY258" s="1184"/>
      <c r="AZ258" s="1189">
        <v>454</v>
      </c>
      <c r="BA258" s="1185">
        <v>14</v>
      </c>
      <c r="BB258" s="1188">
        <v>10.38</v>
      </c>
      <c r="BC258" s="1187">
        <v>6.4</v>
      </c>
      <c r="BD258" s="1172">
        <v>1000</v>
      </c>
      <c r="BE258" s="1172">
        <v>1500</v>
      </c>
      <c r="BF258" s="1172">
        <v>2000</v>
      </c>
      <c r="BG258" s="1172">
        <v>2500</v>
      </c>
      <c r="BH258" s="1172">
        <v>3250</v>
      </c>
      <c r="BI258" s="1172">
        <v>4000</v>
      </c>
      <c r="BJ258" s="1185" t="s">
        <v>1892</v>
      </c>
      <c r="BK258" s="1185"/>
      <c r="BL258" s="1185" t="s">
        <v>1333</v>
      </c>
      <c r="BM258" s="1185"/>
      <c r="BN258" s="1186"/>
      <c r="BO258" s="1185" t="s">
        <v>2186</v>
      </c>
      <c r="BP258" s="1185"/>
      <c r="BQ258" s="1185"/>
      <c r="BR258" s="1185"/>
      <c r="BS258" s="1185"/>
      <c r="BT258" s="1185"/>
      <c r="BU258" s="1185"/>
      <c r="BW258" s="1181"/>
    </row>
    <row r="259" spans="21:75">
      <c r="U259" s="1180"/>
      <c r="V259" s="1174"/>
      <c r="W259" s="1174"/>
      <c r="X259" s="1174"/>
      <c r="Y259" s="1174"/>
      <c r="Z259" s="1174"/>
      <c r="AA259" s="1174"/>
      <c r="AB259" s="1174"/>
      <c r="AC259" s="1174"/>
      <c r="AD259" s="1174"/>
      <c r="AE259" s="1174"/>
      <c r="AF259" s="1174"/>
      <c r="AG259" s="1174"/>
      <c r="AH259" s="1174"/>
      <c r="AI259" s="1174"/>
      <c r="AJ259" s="1174"/>
      <c r="AK259" s="1174"/>
      <c r="AL259" s="1174"/>
      <c r="AM259" s="1174"/>
      <c r="AN259" s="1174"/>
      <c r="AO259" s="1174"/>
      <c r="AP259" s="1174"/>
      <c r="AQ259" s="1174"/>
      <c r="AR259" s="1174"/>
      <c r="AS259" s="1174"/>
      <c r="AT259" s="1174"/>
      <c r="AU259" s="1174"/>
      <c r="AV259" s="1174"/>
      <c r="AW259" s="1173"/>
      <c r="AY259" s="1184"/>
      <c r="AZ259" s="1189">
        <v>455</v>
      </c>
      <c r="BA259" s="1185">
        <v>14</v>
      </c>
      <c r="BB259" s="1188">
        <v>10.38</v>
      </c>
      <c r="BC259" s="1187">
        <v>6.4</v>
      </c>
      <c r="BD259" s="1172">
        <v>1000</v>
      </c>
      <c r="BE259" s="1172">
        <v>1500</v>
      </c>
      <c r="BF259" s="1172">
        <v>2000</v>
      </c>
      <c r="BG259" s="1172">
        <v>2500</v>
      </c>
      <c r="BH259" s="1172">
        <v>3250</v>
      </c>
      <c r="BI259" s="1172">
        <v>4000</v>
      </c>
      <c r="BJ259" s="1185" t="s">
        <v>1892</v>
      </c>
      <c r="BK259" s="1185"/>
      <c r="BL259" s="1185" t="s">
        <v>1333</v>
      </c>
      <c r="BM259" s="1185"/>
      <c r="BN259" s="1186"/>
      <c r="BO259" s="1185" t="s">
        <v>2185</v>
      </c>
      <c r="BP259" s="1185"/>
      <c r="BQ259" s="1185"/>
      <c r="BR259" s="1185"/>
      <c r="BS259" s="1185"/>
      <c r="BT259" s="1185"/>
      <c r="BU259" s="1185"/>
      <c r="BW259" s="1181"/>
    </row>
    <row r="260" spans="21:75">
      <c r="X260" s="1191"/>
      <c r="AY260" s="1184"/>
      <c r="AZ260" s="1189">
        <v>456</v>
      </c>
      <c r="BA260" s="1172">
        <v>0</v>
      </c>
      <c r="BB260" s="1188">
        <v>0.55000000000000004</v>
      </c>
      <c r="BC260" s="1187">
        <v>6.9</v>
      </c>
      <c r="BD260" s="1172">
        <v>0</v>
      </c>
      <c r="BE260" s="1172">
        <v>0</v>
      </c>
      <c r="BF260" s="1172">
        <v>0</v>
      </c>
      <c r="BG260" s="1172">
        <v>0</v>
      </c>
      <c r="BH260" s="1172">
        <v>0</v>
      </c>
      <c r="BI260" s="1172">
        <v>0</v>
      </c>
      <c r="BJ260" s="1185" t="s">
        <v>1894</v>
      </c>
      <c r="BK260" s="1185"/>
      <c r="BL260" s="1185" t="s">
        <v>1387</v>
      </c>
      <c r="BM260" s="1185"/>
      <c r="BN260" s="1186"/>
      <c r="BO260" s="1185" t="s">
        <v>2184</v>
      </c>
      <c r="BP260" s="1185"/>
      <c r="BQ260" s="1185"/>
      <c r="BR260" s="1185"/>
      <c r="BS260" s="1185"/>
      <c r="BT260" s="1185"/>
      <c r="BU260" s="1185"/>
      <c r="BW260" s="1181"/>
    </row>
    <row r="261" spans="21:75">
      <c r="X261" s="1191"/>
      <c r="AY261" s="1184"/>
      <c r="AZ261" s="1189">
        <v>457</v>
      </c>
      <c r="BA261" s="1185">
        <v>7</v>
      </c>
      <c r="BB261" s="1188">
        <v>9.52</v>
      </c>
      <c r="BC261" s="1187">
        <v>6</v>
      </c>
      <c r="BD261" s="1172">
        <v>8000</v>
      </c>
      <c r="BE261" s="1172">
        <v>10000</v>
      </c>
      <c r="BF261" s="1172">
        <v>12000</v>
      </c>
      <c r="BG261" s="1172">
        <v>20000</v>
      </c>
      <c r="BH261" s="1172">
        <v>25000</v>
      </c>
      <c r="BI261" s="1172">
        <v>30000</v>
      </c>
      <c r="BJ261" s="1185" t="s">
        <v>1348</v>
      </c>
      <c r="BK261" s="1185"/>
      <c r="BL261" s="1185" t="s">
        <v>1390</v>
      </c>
      <c r="BM261" s="1185"/>
      <c r="BN261" s="1186"/>
      <c r="BO261" s="1185" t="s">
        <v>2183</v>
      </c>
      <c r="BP261" s="1185"/>
      <c r="BQ261" s="1185"/>
      <c r="BR261" s="1185"/>
      <c r="BS261" s="1185"/>
      <c r="BT261" s="1185"/>
      <c r="BU261" s="1185"/>
      <c r="BW261" s="1181"/>
    </row>
    <row r="262" spans="21:75">
      <c r="U262" s="1060" t="s">
        <v>2182</v>
      </c>
      <c r="X262" s="1191"/>
      <c r="AY262" s="1184"/>
      <c r="AZ262" s="1189">
        <v>458</v>
      </c>
      <c r="BA262" s="1185">
        <v>14</v>
      </c>
      <c r="BB262" s="1188">
        <v>10.38</v>
      </c>
      <c r="BC262" s="1187">
        <v>6.4</v>
      </c>
      <c r="BD262" s="1172">
        <v>1000</v>
      </c>
      <c r="BE262" s="1172">
        <v>1500</v>
      </c>
      <c r="BF262" s="1172">
        <v>2000</v>
      </c>
      <c r="BG262" s="1172">
        <v>2500</v>
      </c>
      <c r="BH262" s="1172">
        <v>3250</v>
      </c>
      <c r="BI262" s="1172">
        <v>4000</v>
      </c>
      <c r="BJ262" s="1185" t="s">
        <v>1892</v>
      </c>
      <c r="BK262" s="1185"/>
      <c r="BL262" s="1185" t="s">
        <v>1333</v>
      </c>
      <c r="BM262" s="1185"/>
      <c r="BN262" s="1186"/>
      <c r="BO262" s="1185" t="s">
        <v>2181</v>
      </c>
      <c r="BP262" s="1185"/>
      <c r="BQ262" s="1185"/>
      <c r="BR262" s="1185"/>
      <c r="BS262" s="1185"/>
      <c r="BT262" s="1185"/>
      <c r="BU262" s="1185"/>
      <c r="BW262" s="1181"/>
    </row>
    <row r="263" spans="21:75">
      <c r="U263" s="1060">
        <v>1</v>
      </c>
      <c r="V263" s="1060" t="s">
        <v>2180</v>
      </c>
      <c r="X263" s="1191"/>
      <c r="AY263" s="1184"/>
      <c r="AZ263" s="1189">
        <v>459</v>
      </c>
      <c r="BA263" s="1172">
        <v>4</v>
      </c>
      <c r="BB263" s="1188">
        <v>2.36</v>
      </c>
      <c r="BC263" s="1187">
        <v>7.2</v>
      </c>
      <c r="BD263" s="1172">
        <v>2000</v>
      </c>
      <c r="BE263" s="1172">
        <v>2500</v>
      </c>
      <c r="BF263" s="1172">
        <v>3000</v>
      </c>
      <c r="BG263" s="1172">
        <v>4000</v>
      </c>
      <c r="BH263" s="1172">
        <v>5000</v>
      </c>
      <c r="BI263" s="1172">
        <v>6000</v>
      </c>
      <c r="BJ263" s="1185" t="s">
        <v>1348</v>
      </c>
      <c r="BK263" s="1185"/>
      <c r="BL263" s="1185" t="s">
        <v>1333</v>
      </c>
      <c r="BM263" s="1185"/>
      <c r="BN263" s="1186"/>
      <c r="BO263" s="1185" t="s">
        <v>2179</v>
      </c>
      <c r="BP263" s="1185"/>
      <c r="BQ263" s="1185"/>
      <c r="BR263" s="1185"/>
      <c r="BS263" s="1185"/>
      <c r="BT263" s="1185"/>
      <c r="BU263" s="1185"/>
      <c r="BW263" s="1181"/>
    </row>
    <row r="264" spans="21:75">
      <c r="U264" s="1060">
        <v>2</v>
      </c>
      <c r="V264" s="1060" t="s">
        <v>2178</v>
      </c>
      <c r="X264" s="1191"/>
      <c r="AY264" s="1184"/>
      <c r="AZ264" s="1189">
        <v>460</v>
      </c>
      <c r="BA264" s="1185">
        <v>14</v>
      </c>
      <c r="BB264" s="1188">
        <v>7.68</v>
      </c>
      <c r="BC264" s="1187">
        <v>6.2</v>
      </c>
      <c r="BD264" s="1172">
        <v>1000</v>
      </c>
      <c r="BE264" s="1172">
        <v>1500</v>
      </c>
      <c r="BF264" s="1172">
        <v>2000</v>
      </c>
      <c r="BG264" s="1172">
        <v>2500</v>
      </c>
      <c r="BH264" s="1172">
        <v>3250</v>
      </c>
      <c r="BI264" s="1172">
        <v>4000</v>
      </c>
      <c r="BJ264" s="1185" t="s">
        <v>1892</v>
      </c>
      <c r="BK264" s="1185"/>
      <c r="BL264" s="1185" t="s">
        <v>1390</v>
      </c>
      <c r="BM264" s="1185"/>
      <c r="BN264" s="1186"/>
      <c r="BO264" s="1185" t="s">
        <v>2177</v>
      </c>
      <c r="BP264" s="1185"/>
      <c r="BQ264" s="1185"/>
      <c r="BR264" s="1185"/>
      <c r="BS264" s="1185"/>
      <c r="BT264" s="1185"/>
      <c r="BU264" s="1185"/>
      <c r="BW264" s="1181"/>
    </row>
    <row r="265" spans="21:75">
      <c r="U265" s="1060">
        <v>3</v>
      </c>
      <c r="V265" s="1060" t="s">
        <v>2176</v>
      </c>
      <c r="X265" s="1191"/>
      <c r="AY265" s="1184"/>
      <c r="AZ265" s="1189">
        <v>461</v>
      </c>
      <c r="BA265" s="1185">
        <v>14</v>
      </c>
      <c r="BB265" s="1188">
        <v>7.68</v>
      </c>
      <c r="BC265" s="1187">
        <v>6.2</v>
      </c>
      <c r="BD265" s="1172">
        <v>1000</v>
      </c>
      <c r="BE265" s="1172">
        <v>1500</v>
      </c>
      <c r="BF265" s="1172">
        <v>2000</v>
      </c>
      <c r="BG265" s="1172">
        <v>2500</v>
      </c>
      <c r="BH265" s="1172">
        <v>3250</v>
      </c>
      <c r="BI265" s="1172">
        <v>4000</v>
      </c>
      <c r="BJ265" s="1185" t="s">
        <v>1892</v>
      </c>
      <c r="BK265" s="1185"/>
      <c r="BL265" s="1185" t="s">
        <v>1390</v>
      </c>
      <c r="BM265" s="1185"/>
      <c r="BN265" s="1186"/>
      <c r="BO265" s="1185" t="s">
        <v>2175</v>
      </c>
      <c r="BP265" s="1185"/>
      <c r="BQ265" s="1185"/>
      <c r="BR265" s="1185"/>
      <c r="BS265" s="1185"/>
      <c r="BT265" s="1185"/>
      <c r="BU265" s="1185"/>
      <c r="BW265" s="1181"/>
    </row>
    <row r="266" spans="21:75">
      <c r="U266" s="1060">
        <v>4</v>
      </c>
      <c r="V266" s="1060" t="s">
        <v>2174</v>
      </c>
      <c r="X266" s="1191"/>
      <c r="AY266" s="1184"/>
      <c r="AZ266" s="1189">
        <v>462</v>
      </c>
      <c r="BA266" s="1185">
        <v>14</v>
      </c>
      <c r="BB266" s="1188">
        <v>7.68</v>
      </c>
      <c r="BC266" s="1187">
        <v>6.2</v>
      </c>
      <c r="BD266" s="1172">
        <v>1000</v>
      </c>
      <c r="BE266" s="1172">
        <v>1500</v>
      </c>
      <c r="BF266" s="1172">
        <v>2000</v>
      </c>
      <c r="BG266" s="1172">
        <v>2500</v>
      </c>
      <c r="BH266" s="1172">
        <v>3250</v>
      </c>
      <c r="BI266" s="1172">
        <v>4000</v>
      </c>
      <c r="BJ266" s="1185" t="s">
        <v>1892</v>
      </c>
      <c r="BK266" s="1185"/>
      <c r="BL266" s="1185" t="s">
        <v>1390</v>
      </c>
      <c r="BM266" s="1185"/>
      <c r="BN266" s="1186"/>
      <c r="BO266" s="1185" t="s">
        <v>2173</v>
      </c>
      <c r="BP266" s="1185"/>
      <c r="BQ266" s="1185"/>
      <c r="BR266" s="1185"/>
      <c r="BS266" s="1185"/>
      <c r="BT266" s="1185"/>
      <c r="BU266" s="1185"/>
      <c r="BW266" s="1181"/>
    </row>
    <row r="267" spans="21:75">
      <c r="U267" s="1060">
        <v>5</v>
      </c>
      <c r="V267" s="1060" t="s">
        <v>2172</v>
      </c>
      <c r="X267" s="1191"/>
      <c r="AY267" s="1184"/>
      <c r="AZ267" s="1189">
        <v>463</v>
      </c>
      <c r="BA267" s="1185">
        <v>14</v>
      </c>
      <c r="BB267" s="1188">
        <v>7.68</v>
      </c>
      <c r="BC267" s="1187">
        <v>6.2</v>
      </c>
      <c r="BD267" s="1172">
        <v>1000</v>
      </c>
      <c r="BE267" s="1172">
        <v>1500</v>
      </c>
      <c r="BF267" s="1172">
        <v>2000</v>
      </c>
      <c r="BG267" s="1172">
        <v>2500</v>
      </c>
      <c r="BH267" s="1172">
        <v>3250</v>
      </c>
      <c r="BI267" s="1172">
        <v>4000</v>
      </c>
      <c r="BJ267" s="1185" t="s">
        <v>1892</v>
      </c>
      <c r="BK267" s="1185"/>
      <c r="BL267" s="1185" t="s">
        <v>1390</v>
      </c>
      <c r="BM267" s="1185"/>
      <c r="BN267" s="1186"/>
      <c r="BO267" s="1185" t="s">
        <v>2171</v>
      </c>
      <c r="BP267" s="1185"/>
      <c r="BQ267" s="1185"/>
      <c r="BR267" s="1185"/>
      <c r="BS267" s="1185"/>
      <c r="BT267" s="1185"/>
      <c r="BU267" s="1185"/>
      <c r="BW267" s="1181"/>
    </row>
    <row r="268" spans="21:75">
      <c r="U268" s="1060">
        <v>6</v>
      </c>
      <c r="V268" s="1060" t="s">
        <v>2170</v>
      </c>
      <c r="X268" s="1191"/>
      <c r="AY268" s="1184"/>
      <c r="AZ268" s="1189">
        <v>464</v>
      </c>
      <c r="BA268" s="1172">
        <v>4</v>
      </c>
      <c r="BB268" s="1188">
        <v>2.36</v>
      </c>
      <c r="BC268" s="1187">
        <v>7.2</v>
      </c>
      <c r="BD268" s="1172">
        <v>2000</v>
      </c>
      <c r="BE268" s="1172">
        <v>2500</v>
      </c>
      <c r="BF268" s="1172">
        <v>3000</v>
      </c>
      <c r="BG268" s="1172">
        <v>4000</v>
      </c>
      <c r="BH268" s="1172">
        <v>5000</v>
      </c>
      <c r="BI268" s="1172">
        <v>6000</v>
      </c>
      <c r="BJ268" s="1185" t="s">
        <v>1348</v>
      </c>
      <c r="BK268" s="1185"/>
      <c r="BL268" s="1185" t="s">
        <v>1333</v>
      </c>
      <c r="BM268" s="1185"/>
      <c r="BN268" s="1186"/>
      <c r="BO268" s="1185" t="s">
        <v>2169</v>
      </c>
      <c r="BP268" s="1185"/>
      <c r="BQ268" s="1185"/>
      <c r="BR268" s="1185"/>
      <c r="BS268" s="1185"/>
      <c r="BT268" s="1185"/>
      <c r="BU268" s="1185"/>
      <c r="BW268" s="1181"/>
    </row>
    <row r="269" spans="21:75">
      <c r="U269" s="1060">
        <v>7</v>
      </c>
      <c r="V269" s="1060" t="s">
        <v>2168</v>
      </c>
      <c r="X269" s="1191"/>
      <c r="AY269" s="1184"/>
      <c r="AZ269" s="1189">
        <v>465</v>
      </c>
      <c r="BA269" s="1185">
        <v>5</v>
      </c>
      <c r="BB269" s="1188">
        <v>7.75</v>
      </c>
      <c r="BC269" s="1187">
        <v>5.7</v>
      </c>
      <c r="BD269" s="1172">
        <v>4000</v>
      </c>
      <c r="BE269" s="1172">
        <v>5000</v>
      </c>
      <c r="BF269" s="1172">
        <v>6000</v>
      </c>
      <c r="BG269" s="1172">
        <v>8000</v>
      </c>
      <c r="BH269" s="1172">
        <v>12000</v>
      </c>
      <c r="BI269" s="1172">
        <v>16000</v>
      </c>
      <c r="BJ269" s="1185" t="s">
        <v>1894</v>
      </c>
      <c r="BK269" s="1185"/>
      <c r="BL269" s="1185" t="s">
        <v>1333</v>
      </c>
      <c r="BM269" s="1185"/>
      <c r="BN269" s="1186"/>
      <c r="BO269" s="1185" t="s">
        <v>2167</v>
      </c>
      <c r="BP269" s="1185"/>
      <c r="BQ269" s="1185"/>
      <c r="BR269" s="1185"/>
      <c r="BS269" s="1185"/>
      <c r="BT269" s="1185"/>
      <c r="BU269" s="1185"/>
      <c r="BW269" s="1181"/>
    </row>
    <row r="270" spans="21:75">
      <c r="U270" s="1060">
        <v>8</v>
      </c>
      <c r="V270" s="1060" t="s">
        <v>2166</v>
      </c>
      <c r="X270" s="1191"/>
      <c r="AY270" s="1184"/>
      <c r="AZ270" s="1189">
        <v>466</v>
      </c>
      <c r="BA270" s="1185">
        <v>14</v>
      </c>
      <c r="BB270" s="1188">
        <v>2.2000000000000002</v>
      </c>
      <c r="BC270" s="1187">
        <v>6.8</v>
      </c>
      <c r="BD270" s="1172">
        <v>1000</v>
      </c>
      <c r="BE270" s="1172">
        <v>1500</v>
      </c>
      <c r="BF270" s="1172">
        <v>2000</v>
      </c>
      <c r="BG270" s="1172">
        <v>2500</v>
      </c>
      <c r="BH270" s="1172">
        <v>3250</v>
      </c>
      <c r="BI270" s="1172">
        <v>4000</v>
      </c>
      <c r="BJ270" s="1185" t="s">
        <v>1348</v>
      </c>
      <c r="BK270" s="1185"/>
      <c r="BL270" s="1185" t="s">
        <v>1333</v>
      </c>
      <c r="BM270" s="1185"/>
      <c r="BN270" s="1186">
        <v>0.4</v>
      </c>
      <c r="BO270" s="1185" t="s">
        <v>2165</v>
      </c>
      <c r="BP270" s="1185"/>
      <c r="BQ270" s="1185"/>
      <c r="BR270" s="1185"/>
      <c r="BS270" s="1185"/>
      <c r="BT270" s="1172"/>
      <c r="BU270" s="1185"/>
      <c r="BW270" s="1181"/>
    </row>
    <row r="271" spans="21:75">
      <c r="U271" s="1060">
        <v>9</v>
      </c>
      <c r="V271" s="1060" t="s">
        <v>2164</v>
      </c>
      <c r="X271" s="1191"/>
      <c r="AY271" s="1184"/>
      <c r="AZ271" s="1189">
        <v>467</v>
      </c>
      <c r="BA271" s="1185">
        <v>14</v>
      </c>
      <c r="BB271" s="1188">
        <v>2.2000000000000002</v>
      </c>
      <c r="BC271" s="1187">
        <v>6.8</v>
      </c>
      <c r="BD271" s="1172">
        <v>1000</v>
      </c>
      <c r="BE271" s="1172">
        <v>1500</v>
      </c>
      <c r="BF271" s="1172">
        <v>2000</v>
      </c>
      <c r="BG271" s="1172">
        <v>2500</v>
      </c>
      <c r="BH271" s="1172">
        <v>3250</v>
      </c>
      <c r="BI271" s="1172">
        <v>4000</v>
      </c>
      <c r="BJ271" s="1185" t="s">
        <v>1892</v>
      </c>
      <c r="BK271" s="1185"/>
      <c r="BL271" s="1185" t="s">
        <v>1333</v>
      </c>
      <c r="BM271" s="1185"/>
      <c r="BN271" s="1186">
        <v>0.4</v>
      </c>
      <c r="BO271" s="1185" t="s">
        <v>2163</v>
      </c>
      <c r="BP271" s="1185"/>
      <c r="BQ271" s="1185"/>
      <c r="BR271" s="1185"/>
      <c r="BS271" s="1185"/>
      <c r="BT271" s="1185"/>
      <c r="BU271" s="1185"/>
      <c r="BW271" s="1181"/>
    </row>
    <row r="272" spans="21:75">
      <c r="U272" s="1060">
        <v>10</v>
      </c>
      <c r="V272" s="1060" t="s">
        <v>2162</v>
      </c>
      <c r="X272" s="1191"/>
      <c r="AY272" s="1184"/>
      <c r="AZ272" s="1189">
        <v>468</v>
      </c>
      <c r="BA272" s="1185">
        <v>15</v>
      </c>
      <c r="BB272" s="1188">
        <v>14.92</v>
      </c>
      <c r="BC272" s="1187">
        <v>6.4</v>
      </c>
      <c r="BD272" s="1172">
        <v>4000</v>
      </c>
      <c r="BE272" s="1172">
        <v>6000</v>
      </c>
      <c r="BF272" s="1172">
        <v>8000</v>
      </c>
      <c r="BG272" s="1172">
        <v>8000</v>
      </c>
      <c r="BH272" s="1172">
        <v>10000</v>
      </c>
      <c r="BI272" s="1172">
        <v>12000</v>
      </c>
      <c r="BJ272" s="1185" t="s">
        <v>1348</v>
      </c>
      <c r="BK272" s="1185"/>
      <c r="BL272" s="1185" t="s">
        <v>1390</v>
      </c>
      <c r="BM272" s="1185"/>
      <c r="BN272" s="1186"/>
      <c r="BO272" s="1185" t="s">
        <v>2161</v>
      </c>
      <c r="BP272" s="1185"/>
      <c r="BQ272" s="1185"/>
      <c r="BR272" s="1185"/>
      <c r="BS272" s="1185"/>
      <c r="BT272" s="1185"/>
      <c r="BU272" s="1185"/>
      <c r="BW272" s="1181"/>
    </row>
    <row r="273" spans="21:75">
      <c r="U273" s="1060">
        <v>11</v>
      </c>
      <c r="V273" s="1060" t="s">
        <v>2160</v>
      </c>
      <c r="X273" s="1191"/>
      <c r="AY273" s="1184"/>
      <c r="AZ273" s="1189">
        <v>469</v>
      </c>
      <c r="BA273" s="1185">
        <v>5</v>
      </c>
      <c r="BB273" s="1188">
        <v>7.75</v>
      </c>
      <c r="BC273" s="1187">
        <v>5.7</v>
      </c>
      <c r="BD273" s="1172">
        <v>4000</v>
      </c>
      <c r="BE273" s="1172">
        <v>5000</v>
      </c>
      <c r="BF273" s="1172">
        <v>6000</v>
      </c>
      <c r="BG273" s="1172">
        <v>8000</v>
      </c>
      <c r="BH273" s="1172">
        <v>12000</v>
      </c>
      <c r="BI273" s="1172">
        <v>16000</v>
      </c>
      <c r="BJ273" s="1185" t="s">
        <v>1894</v>
      </c>
      <c r="BK273" s="1185"/>
      <c r="BL273" s="1185" t="s">
        <v>1333</v>
      </c>
      <c r="BM273" s="1185"/>
      <c r="BN273" s="1186"/>
      <c r="BO273" s="1185" t="s">
        <v>2159</v>
      </c>
      <c r="BP273" s="1185"/>
      <c r="BQ273" s="1185"/>
      <c r="BR273" s="1185"/>
      <c r="BS273" s="1185"/>
      <c r="BT273" s="1185"/>
      <c r="BU273" s="1185"/>
      <c r="BW273" s="1181"/>
    </row>
    <row r="274" spans="21:75">
      <c r="U274" s="1060">
        <v>12</v>
      </c>
      <c r="V274" s="1060" t="s">
        <v>2158</v>
      </c>
      <c r="X274" s="1191"/>
      <c r="AY274" s="1184"/>
      <c r="AZ274" s="1189">
        <v>470</v>
      </c>
      <c r="BA274" s="1185">
        <v>14</v>
      </c>
      <c r="BB274" s="1188">
        <v>1.71</v>
      </c>
      <c r="BC274" s="1187">
        <v>6.9</v>
      </c>
      <c r="BD274" s="1172">
        <v>1000</v>
      </c>
      <c r="BE274" s="1172">
        <v>1500</v>
      </c>
      <c r="BF274" s="1172">
        <v>2000</v>
      </c>
      <c r="BG274" s="1172">
        <v>2500</v>
      </c>
      <c r="BH274" s="1172">
        <v>3250</v>
      </c>
      <c r="BI274" s="1172">
        <v>4000</v>
      </c>
      <c r="BJ274" s="1185" t="s">
        <v>1348</v>
      </c>
      <c r="BK274" s="1185"/>
      <c r="BL274" s="1185" t="s">
        <v>1333</v>
      </c>
      <c r="BM274" s="1185"/>
      <c r="BN274" s="1186"/>
      <c r="BO274" s="1185" t="s">
        <v>2157</v>
      </c>
      <c r="BP274" s="1185"/>
      <c r="BQ274" s="1185"/>
      <c r="BR274" s="1185"/>
      <c r="BS274" s="1185"/>
      <c r="BT274" s="1172"/>
      <c r="BU274" s="1185"/>
      <c r="BW274" s="1181"/>
    </row>
    <row r="275" spans="21:75">
      <c r="U275" s="1060">
        <v>13</v>
      </c>
      <c r="V275" s="1060" t="s">
        <v>2156</v>
      </c>
      <c r="X275" s="1191"/>
      <c r="AY275" s="1184"/>
      <c r="AZ275" s="1189">
        <v>471</v>
      </c>
      <c r="BA275" s="1185">
        <v>14</v>
      </c>
      <c r="BB275" s="1188">
        <v>1.71</v>
      </c>
      <c r="BC275" s="1187">
        <v>6.9</v>
      </c>
      <c r="BD275" s="1172">
        <v>1000</v>
      </c>
      <c r="BE275" s="1172">
        <v>1500</v>
      </c>
      <c r="BF275" s="1172">
        <v>2000</v>
      </c>
      <c r="BG275" s="1172">
        <v>2500</v>
      </c>
      <c r="BH275" s="1172">
        <v>3250</v>
      </c>
      <c r="BI275" s="1172">
        <v>4000</v>
      </c>
      <c r="BJ275" s="1185" t="s">
        <v>1348</v>
      </c>
      <c r="BK275" s="1185"/>
      <c r="BL275" s="1185" t="s">
        <v>1333</v>
      </c>
      <c r="BM275" s="1185"/>
      <c r="BN275" s="1186"/>
      <c r="BO275" s="1185" t="s">
        <v>2155</v>
      </c>
      <c r="BP275" s="1185"/>
      <c r="BQ275" s="1185"/>
      <c r="BR275" s="1185"/>
      <c r="BS275" s="1185"/>
      <c r="BT275" s="1172"/>
      <c r="BU275" s="1185"/>
      <c r="BW275" s="1181"/>
    </row>
    <row r="276" spans="21:75">
      <c r="U276" s="1060">
        <v>14</v>
      </c>
      <c r="V276" s="1060" t="s">
        <v>2154</v>
      </c>
      <c r="AY276" s="1184"/>
      <c r="AZ276" s="1189">
        <v>472</v>
      </c>
      <c r="BA276" s="1185">
        <v>5</v>
      </c>
      <c r="BB276" s="1188">
        <v>7.75</v>
      </c>
      <c r="BC276" s="1187">
        <v>5.7</v>
      </c>
      <c r="BD276" s="1172">
        <v>4000</v>
      </c>
      <c r="BE276" s="1172">
        <v>5000</v>
      </c>
      <c r="BF276" s="1172">
        <v>6000</v>
      </c>
      <c r="BG276" s="1172">
        <v>8000</v>
      </c>
      <c r="BH276" s="1172">
        <v>12000</v>
      </c>
      <c r="BI276" s="1172">
        <v>16000</v>
      </c>
      <c r="BJ276" s="1185" t="s">
        <v>1894</v>
      </c>
      <c r="BK276" s="1185"/>
      <c r="BL276" s="1185" t="s">
        <v>1333</v>
      </c>
      <c r="BM276" s="1185"/>
      <c r="BN276" s="1186">
        <v>0.3</v>
      </c>
      <c r="BO276" s="1185" t="s">
        <v>2153</v>
      </c>
      <c r="BP276" s="1185"/>
      <c r="BQ276" s="1185"/>
      <c r="BR276" s="1185"/>
      <c r="BS276" s="1185"/>
      <c r="BT276" s="1185"/>
      <c r="BU276" s="1185"/>
      <c r="BW276" s="1181"/>
    </row>
    <row r="277" spans="21:75">
      <c r="U277" s="1060">
        <v>15</v>
      </c>
      <c r="V277" s="1060" t="s">
        <v>2152</v>
      </c>
      <c r="AY277" s="1184"/>
      <c r="AZ277" s="1189">
        <v>473</v>
      </c>
      <c r="BA277" s="1185">
        <v>5</v>
      </c>
      <c r="BB277" s="1188">
        <v>7.78</v>
      </c>
      <c r="BC277" s="1187">
        <v>5.9</v>
      </c>
      <c r="BD277" s="1172">
        <v>4000</v>
      </c>
      <c r="BE277" s="1172">
        <v>5000</v>
      </c>
      <c r="BF277" s="1172">
        <v>6000</v>
      </c>
      <c r="BG277" s="1172">
        <v>8000</v>
      </c>
      <c r="BH277" s="1172">
        <v>12000</v>
      </c>
      <c r="BI277" s="1172">
        <v>16000</v>
      </c>
      <c r="BJ277" s="1185" t="s">
        <v>1348</v>
      </c>
      <c r="BK277" s="1185"/>
      <c r="BL277" s="1185" t="s">
        <v>1390</v>
      </c>
      <c r="BM277" s="1185"/>
      <c r="BN277" s="1186"/>
      <c r="BO277" s="1185" t="s">
        <v>2151</v>
      </c>
      <c r="BP277" s="1185"/>
      <c r="BQ277" s="1185"/>
      <c r="BR277" s="1185"/>
      <c r="BS277" s="1185"/>
      <c r="BT277" s="1185"/>
      <c r="BU277" s="1185"/>
      <c r="BW277" s="1181"/>
    </row>
    <row r="278" spans="21:75">
      <c r="U278" s="1060">
        <v>16</v>
      </c>
      <c r="V278" s="1060" t="s">
        <v>2150</v>
      </c>
      <c r="AY278" s="1184"/>
      <c r="AZ278" s="1189">
        <v>474</v>
      </c>
      <c r="BA278" s="1185">
        <v>5</v>
      </c>
      <c r="BB278" s="1188">
        <v>7.78</v>
      </c>
      <c r="BC278" s="1187">
        <v>5.9</v>
      </c>
      <c r="BD278" s="1172">
        <v>4000</v>
      </c>
      <c r="BE278" s="1172">
        <v>5000</v>
      </c>
      <c r="BF278" s="1172">
        <v>6000</v>
      </c>
      <c r="BG278" s="1172">
        <v>8000</v>
      </c>
      <c r="BH278" s="1172">
        <v>12000</v>
      </c>
      <c r="BI278" s="1172">
        <v>16000</v>
      </c>
      <c r="BJ278" s="1185" t="s">
        <v>1348</v>
      </c>
      <c r="BK278" s="1185"/>
      <c r="BL278" s="1185" t="s">
        <v>1390</v>
      </c>
      <c r="BM278" s="1185"/>
      <c r="BN278" s="1186"/>
      <c r="BO278" s="1185" t="s">
        <v>2149</v>
      </c>
      <c r="BP278" s="1185"/>
      <c r="BQ278" s="1185"/>
      <c r="BR278" s="1185"/>
      <c r="BS278" s="1185"/>
      <c r="BT278" s="1185"/>
      <c r="BU278" s="1185"/>
      <c r="BW278" s="1181"/>
    </row>
    <row r="279" spans="21:75">
      <c r="U279" s="1060">
        <v>17</v>
      </c>
      <c r="V279" s="1060" t="s">
        <v>2148</v>
      </c>
      <c r="AY279" s="1184"/>
      <c r="AZ279" s="1189">
        <v>475</v>
      </c>
      <c r="BA279" s="1185">
        <v>5</v>
      </c>
      <c r="BB279" s="1188">
        <v>7.78</v>
      </c>
      <c r="BC279" s="1187">
        <v>5.9</v>
      </c>
      <c r="BD279" s="1172">
        <v>4000</v>
      </c>
      <c r="BE279" s="1172">
        <v>5000</v>
      </c>
      <c r="BF279" s="1172">
        <v>6000</v>
      </c>
      <c r="BG279" s="1172">
        <v>8000</v>
      </c>
      <c r="BH279" s="1172">
        <v>12000</v>
      </c>
      <c r="BI279" s="1172">
        <v>16000</v>
      </c>
      <c r="BJ279" s="1185" t="s">
        <v>1348</v>
      </c>
      <c r="BK279" s="1185"/>
      <c r="BL279" s="1185" t="s">
        <v>1390</v>
      </c>
      <c r="BM279" s="1185"/>
      <c r="BN279" s="1186"/>
      <c r="BO279" s="1185" t="s">
        <v>2147</v>
      </c>
      <c r="BP279" s="1185"/>
      <c r="BQ279" s="1185"/>
      <c r="BR279" s="1185"/>
      <c r="BS279" s="1185"/>
      <c r="BT279" s="1185"/>
      <c r="BU279" s="1185"/>
      <c r="BW279" s="1181"/>
    </row>
    <row r="280" spans="21:75">
      <c r="AY280" s="1184"/>
      <c r="AZ280" s="1189">
        <v>476</v>
      </c>
      <c r="BA280" s="1185">
        <v>14</v>
      </c>
      <c r="BB280" s="1188">
        <v>2.27</v>
      </c>
      <c r="BC280" s="1187">
        <v>6.7</v>
      </c>
      <c r="BD280" s="1172">
        <v>1000</v>
      </c>
      <c r="BE280" s="1172">
        <v>1500</v>
      </c>
      <c r="BF280" s="1172">
        <v>2000</v>
      </c>
      <c r="BG280" s="1172">
        <v>2500</v>
      </c>
      <c r="BH280" s="1172">
        <v>3250</v>
      </c>
      <c r="BI280" s="1172">
        <v>4000</v>
      </c>
      <c r="BJ280" s="1185" t="s">
        <v>1892</v>
      </c>
      <c r="BK280" s="1185"/>
      <c r="BL280" s="1185" t="s">
        <v>1333</v>
      </c>
      <c r="BM280" s="1185"/>
      <c r="BN280" s="1186"/>
      <c r="BO280" s="1185" t="s">
        <v>2146</v>
      </c>
      <c r="BP280" s="1185"/>
      <c r="BQ280" s="1185"/>
      <c r="BR280" s="1185"/>
      <c r="BS280" s="1185"/>
      <c r="BT280" s="1185"/>
      <c r="BU280" s="1185"/>
      <c r="BW280" s="1181"/>
    </row>
    <row r="281" spans="21:75">
      <c r="AY281" s="1184"/>
      <c r="AZ281" s="1189">
        <v>477</v>
      </c>
      <c r="BA281" s="1185">
        <v>14</v>
      </c>
      <c r="BB281" s="1188">
        <v>2.27</v>
      </c>
      <c r="BC281" s="1187">
        <v>6.7</v>
      </c>
      <c r="BD281" s="1172">
        <v>1000</v>
      </c>
      <c r="BE281" s="1172">
        <v>1500</v>
      </c>
      <c r="BF281" s="1172">
        <v>2000</v>
      </c>
      <c r="BG281" s="1172">
        <v>2500</v>
      </c>
      <c r="BH281" s="1172">
        <v>3250</v>
      </c>
      <c r="BI281" s="1172">
        <v>4000</v>
      </c>
      <c r="BJ281" s="1185" t="s">
        <v>1892</v>
      </c>
      <c r="BK281" s="1185"/>
      <c r="BL281" s="1185" t="s">
        <v>1333</v>
      </c>
      <c r="BM281" s="1185"/>
      <c r="BN281" s="1186"/>
      <c r="BO281" s="1185" t="s">
        <v>2145</v>
      </c>
      <c r="BP281" s="1185"/>
      <c r="BQ281" s="1185"/>
      <c r="BR281" s="1185"/>
      <c r="BS281" s="1185"/>
      <c r="BT281" s="1172"/>
      <c r="BU281" s="1185"/>
      <c r="BW281" s="1181"/>
    </row>
    <row r="282" spans="21:75">
      <c r="U282" s="1060" t="s">
        <v>2144</v>
      </c>
      <c r="AY282" s="1184"/>
      <c r="AZ282" s="1189">
        <v>478</v>
      </c>
      <c r="BA282" s="1185">
        <v>5</v>
      </c>
      <c r="BB282" s="1188">
        <v>7.78</v>
      </c>
      <c r="BC282" s="1187">
        <v>5.9</v>
      </c>
      <c r="BD282" s="1172">
        <v>4000</v>
      </c>
      <c r="BE282" s="1172">
        <v>5000</v>
      </c>
      <c r="BF282" s="1172">
        <v>6000</v>
      </c>
      <c r="BG282" s="1172">
        <v>8000</v>
      </c>
      <c r="BH282" s="1172">
        <v>12000</v>
      </c>
      <c r="BI282" s="1172">
        <v>16000</v>
      </c>
      <c r="BJ282" s="1185" t="s">
        <v>1348</v>
      </c>
      <c r="BK282" s="1185"/>
      <c r="BL282" s="1185" t="s">
        <v>1390</v>
      </c>
      <c r="BM282" s="1185"/>
      <c r="BN282" s="1186">
        <v>0.3</v>
      </c>
      <c r="BO282" s="1185" t="s">
        <v>2143</v>
      </c>
      <c r="BP282" s="1185"/>
      <c r="BQ282" s="1185"/>
      <c r="BR282" s="1185"/>
      <c r="BS282" s="1185"/>
      <c r="BT282" s="1185"/>
      <c r="BU282" s="1185"/>
      <c r="BW282" s="1181"/>
    </row>
    <row r="283" spans="21:75">
      <c r="U283" s="1060">
        <v>1</v>
      </c>
      <c r="V283" s="1060" t="s">
        <v>2142</v>
      </c>
      <c r="AY283" s="1184"/>
      <c r="AZ283" s="1189">
        <v>481</v>
      </c>
      <c r="BA283" s="1185">
        <v>14</v>
      </c>
      <c r="BB283" s="1188">
        <v>24.28</v>
      </c>
      <c r="BC283" s="1187">
        <v>7.3</v>
      </c>
      <c r="BD283" s="1172">
        <v>1000</v>
      </c>
      <c r="BE283" s="1172">
        <v>1500</v>
      </c>
      <c r="BF283" s="1172">
        <v>2000</v>
      </c>
      <c r="BG283" s="1172">
        <v>2500</v>
      </c>
      <c r="BH283" s="1172">
        <v>3250</v>
      </c>
      <c r="BI283" s="1172">
        <v>4000</v>
      </c>
      <c r="BJ283" s="1185" t="s">
        <v>1892</v>
      </c>
      <c r="BK283" s="1185"/>
      <c r="BL283" s="1185" t="s">
        <v>1333</v>
      </c>
      <c r="BM283" s="1185"/>
      <c r="BN283" s="1186"/>
      <c r="BO283" s="1185" t="s">
        <v>2141</v>
      </c>
      <c r="BP283" s="1185"/>
      <c r="BQ283" s="1185"/>
      <c r="BR283" s="1185"/>
      <c r="BS283" s="1185"/>
      <c r="BT283" s="1185"/>
      <c r="BU283" s="1185"/>
      <c r="BW283" s="1181"/>
    </row>
    <row r="284" spans="21:75">
      <c r="U284" s="1060">
        <v>2</v>
      </c>
      <c r="V284" s="1060" t="s">
        <v>2140</v>
      </c>
      <c r="AY284" s="1184"/>
      <c r="AZ284" s="1189">
        <v>483</v>
      </c>
      <c r="BA284" s="1185">
        <v>14</v>
      </c>
      <c r="BB284" s="1188">
        <v>24.28</v>
      </c>
      <c r="BC284" s="1187">
        <v>7.3</v>
      </c>
      <c r="BD284" s="1172">
        <v>1000</v>
      </c>
      <c r="BE284" s="1172">
        <v>1500</v>
      </c>
      <c r="BF284" s="1172">
        <v>2000</v>
      </c>
      <c r="BG284" s="1172">
        <v>2500</v>
      </c>
      <c r="BH284" s="1172">
        <v>3250</v>
      </c>
      <c r="BI284" s="1172">
        <v>4000</v>
      </c>
      <c r="BJ284" s="1185" t="s">
        <v>1892</v>
      </c>
      <c r="BK284" s="1185"/>
      <c r="BL284" s="1185" t="s">
        <v>1333</v>
      </c>
      <c r="BM284" s="1185"/>
      <c r="BN284" s="1186"/>
      <c r="BO284" s="1185" t="s">
        <v>2139</v>
      </c>
      <c r="BP284" s="1185"/>
      <c r="BQ284" s="1185"/>
      <c r="BR284" s="1185"/>
      <c r="BS284" s="1185"/>
      <c r="BT284" s="1185"/>
      <c r="BU284" s="1185"/>
      <c r="BW284" s="1181"/>
    </row>
    <row r="285" spans="21:75">
      <c r="U285" s="1060">
        <v>3</v>
      </c>
      <c r="V285" s="1060" t="s">
        <v>2138</v>
      </c>
      <c r="AY285" s="1184"/>
      <c r="AZ285" s="1189">
        <v>485</v>
      </c>
      <c r="BA285" s="1172">
        <v>4</v>
      </c>
      <c r="BB285" s="1188">
        <v>2.36</v>
      </c>
      <c r="BC285" s="1187">
        <v>7.2</v>
      </c>
      <c r="BD285" s="1172">
        <v>2000</v>
      </c>
      <c r="BE285" s="1172">
        <v>2500</v>
      </c>
      <c r="BF285" s="1172">
        <v>3000</v>
      </c>
      <c r="BG285" s="1172">
        <v>4000</v>
      </c>
      <c r="BH285" s="1172">
        <v>5000</v>
      </c>
      <c r="BI285" s="1172">
        <v>6000</v>
      </c>
      <c r="BJ285" s="1185" t="s">
        <v>1348</v>
      </c>
      <c r="BK285" s="1185"/>
      <c r="BL285" s="1185" t="s">
        <v>1333</v>
      </c>
      <c r="BM285" s="1185"/>
      <c r="BN285" s="1186"/>
      <c r="BO285" s="1185" t="s">
        <v>2137</v>
      </c>
      <c r="BP285" s="1185"/>
      <c r="BQ285" s="1185"/>
      <c r="BR285" s="1185"/>
      <c r="BS285" s="1185"/>
      <c r="BT285" s="1185"/>
      <c r="BU285" s="1185"/>
      <c r="BW285" s="1181"/>
    </row>
    <row r="286" spans="21:75">
      <c r="U286" s="1060">
        <v>4</v>
      </c>
      <c r="V286" s="1060" t="s">
        <v>2136</v>
      </c>
      <c r="AY286" s="1184"/>
      <c r="AZ286" s="1189">
        <v>486</v>
      </c>
      <c r="BA286" s="1172">
        <v>4</v>
      </c>
      <c r="BB286" s="1188">
        <v>2.36</v>
      </c>
      <c r="BC286" s="1187">
        <v>7.2</v>
      </c>
      <c r="BD286" s="1172">
        <v>2000</v>
      </c>
      <c r="BE286" s="1172">
        <v>2500</v>
      </c>
      <c r="BF286" s="1172">
        <v>3000</v>
      </c>
      <c r="BG286" s="1172">
        <v>4000</v>
      </c>
      <c r="BH286" s="1172">
        <v>5000</v>
      </c>
      <c r="BI286" s="1172">
        <v>6000</v>
      </c>
      <c r="BJ286" s="1185" t="s">
        <v>1348</v>
      </c>
      <c r="BK286" s="1185"/>
      <c r="BL286" s="1185" t="s">
        <v>1333</v>
      </c>
      <c r="BM286" s="1185"/>
      <c r="BN286" s="1186"/>
      <c r="BO286" s="1185" t="s">
        <v>2135</v>
      </c>
      <c r="BP286" s="1185"/>
      <c r="BQ286" s="1185"/>
      <c r="BR286" s="1185"/>
      <c r="BS286" s="1185"/>
      <c r="BT286" s="1185"/>
      <c r="BU286" s="1185"/>
      <c r="BW286" s="1181"/>
    </row>
    <row r="287" spans="21:75">
      <c r="U287" s="1060">
        <v>5</v>
      </c>
      <c r="V287" s="1060" t="s">
        <v>2134</v>
      </c>
      <c r="AY287" s="1184"/>
      <c r="AZ287" s="1189">
        <v>487</v>
      </c>
      <c r="BA287" s="1172">
        <v>12</v>
      </c>
      <c r="BB287" s="1188">
        <v>6.05</v>
      </c>
      <c r="BC287" s="1187">
        <v>7.5</v>
      </c>
      <c r="BD287" s="1172">
        <v>3000</v>
      </c>
      <c r="BE287" s="1172">
        <v>4000</v>
      </c>
      <c r="BF287" s="1172">
        <v>5000</v>
      </c>
      <c r="BG287" s="1172">
        <v>6000</v>
      </c>
      <c r="BH287" s="1172">
        <v>8000</v>
      </c>
      <c r="BI287" s="1172">
        <v>10000</v>
      </c>
      <c r="BJ287" s="1185" t="s">
        <v>1348</v>
      </c>
      <c r="BK287" s="1185"/>
      <c r="BL287" s="1185" t="s">
        <v>1333</v>
      </c>
      <c r="BM287" s="1185"/>
      <c r="BN287" s="1186"/>
      <c r="BO287" s="1185" t="s">
        <v>2133</v>
      </c>
      <c r="BP287" s="1185"/>
      <c r="BQ287" s="1185"/>
      <c r="BR287" s="1185"/>
      <c r="BS287" s="1185"/>
      <c r="BT287" s="1185"/>
      <c r="BU287" s="1185"/>
      <c r="BW287" s="1181"/>
    </row>
    <row r="288" spans="21:75">
      <c r="U288" s="1060">
        <v>6</v>
      </c>
      <c r="V288" s="1060" t="s">
        <v>2132</v>
      </c>
      <c r="AY288" s="1184"/>
      <c r="AZ288" s="1189">
        <v>488</v>
      </c>
      <c r="BA288" s="1172">
        <v>12</v>
      </c>
      <c r="BB288" s="1188">
        <v>6.05</v>
      </c>
      <c r="BC288" s="1187">
        <v>7.5</v>
      </c>
      <c r="BD288" s="1172">
        <v>3000</v>
      </c>
      <c r="BE288" s="1172">
        <v>4000</v>
      </c>
      <c r="BF288" s="1172">
        <v>5000</v>
      </c>
      <c r="BG288" s="1172">
        <v>6000</v>
      </c>
      <c r="BH288" s="1172">
        <v>8000</v>
      </c>
      <c r="BI288" s="1172">
        <v>10000</v>
      </c>
      <c r="BJ288" s="1185" t="s">
        <v>1348</v>
      </c>
      <c r="BK288" s="1185"/>
      <c r="BL288" s="1185" t="s">
        <v>1333</v>
      </c>
      <c r="BM288" s="1185"/>
      <c r="BN288" s="1186"/>
      <c r="BO288" s="1185" t="s">
        <v>2131</v>
      </c>
      <c r="BP288" s="1185"/>
      <c r="BQ288" s="1185"/>
      <c r="BR288" s="1185"/>
      <c r="BS288" s="1185"/>
      <c r="BT288" s="1185"/>
      <c r="BU288" s="1185"/>
      <c r="BW288" s="1181"/>
    </row>
    <row r="289" spans="21:75">
      <c r="U289" s="1060">
        <v>7</v>
      </c>
      <c r="V289" s="1060" t="s">
        <v>2130</v>
      </c>
      <c r="AY289" s="1184"/>
      <c r="AZ289" s="1189">
        <v>489</v>
      </c>
      <c r="BA289" s="1185">
        <v>15</v>
      </c>
      <c r="BB289" s="1188">
        <v>14.92</v>
      </c>
      <c r="BC289" s="1187">
        <v>6.4</v>
      </c>
      <c r="BD289" s="1172">
        <v>4000</v>
      </c>
      <c r="BE289" s="1172">
        <v>6000</v>
      </c>
      <c r="BF289" s="1172">
        <v>8000</v>
      </c>
      <c r="BG289" s="1172">
        <v>8000</v>
      </c>
      <c r="BH289" s="1172">
        <v>10000</v>
      </c>
      <c r="BI289" s="1172">
        <v>12000</v>
      </c>
      <c r="BJ289" s="1185" t="s">
        <v>1348</v>
      </c>
      <c r="BK289" s="1185"/>
      <c r="BL289" s="1185" t="s">
        <v>1390</v>
      </c>
      <c r="BM289" s="1185"/>
      <c r="BN289" s="1186"/>
      <c r="BO289" s="1185" t="s">
        <v>2129</v>
      </c>
      <c r="BP289" s="1185"/>
      <c r="BQ289" s="1185"/>
      <c r="BR289" s="1185"/>
      <c r="BS289" s="1185"/>
      <c r="BT289" s="1185"/>
      <c r="BU289" s="1185"/>
      <c r="BW289" s="1181"/>
    </row>
    <row r="290" spans="21:75">
      <c r="U290" s="1060">
        <v>8</v>
      </c>
      <c r="V290" s="1060" t="s">
        <v>2128</v>
      </c>
      <c r="AY290" s="1184"/>
      <c r="AZ290" s="1189">
        <v>490</v>
      </c>
      <c r="BA290" s="1185">
        <v>6</v>
      </c>
      <c r="BB290" s="1188">
        <v>22.4</v>
      </c>
      <c r="BC290" s="1187">
        <v>7.1</v>
      </c>
      <c r="BD290" s="1172">
        <v>4000</v>
      </c>
      <c r="BE290" s="1172">
        <v>5000</v>
      </c>
      <c r="BF290" s="1172">
        <v>6000</v>
      </c>
      <c r="BG290" s="1172">
        <v>8000</v>
      </c>
      <c r="BH290" s="1172">
        <v>12000</v>
      </c>
      <c r="BI290" s="1172">
        <v>16000</v>
      </c>
      <c r="BJ290" s="1185" t="s">
        <v>1894</v>
      </c>
      <c r="BK290" s="1185"/>
      <c r="BL290" s="1185" t="s">
        <v>1333</v>
      </c>
      <c r="BM290" s="1185"/>
      <c r="BN290" s="1186"/>
      <c r="BO290" s="1185" t="s">
        <v>2127</v>
      </c>
      <c r="BP290" s="1185"/>
      <c r="BQ290" s="1185"/>
      <c r="BR290" s="1185"/>
      <c r="BS290" s="1185"/>
      <c r="BT290" s="1185"/>
      <c r="BU290" s="1185"/>
      <c r="BW290" s="1181"/>
    </row>
    <row r="291" spans="21:75">
      <c r="U291" s="1060">
        <v>9</v>
      </c>
      <c r="V291" s="1060" t="s">
        <v>2126</v>
      </c>
      <c r="AY291" s="1184"/>
      <c r="AZ291" s="1189">
        <v>491</v>
      </c>
      <c r="BA291" s="1185">
        <v>6</v>
      </c>
      <c r="BB291" s="1188">
        <v>22.4</v>
      </c>
      <c r="BC291" s="1187">
        <v>7.1</v>
      </c>
      <c r="BD291" s="1172">
        <v>4000</v>
      </c>
      <c r="BE291" s="1172">
        <v>5000</v>
      </c>
      <c r="BF291" s="1172">
        <v>6000</v>
      </c>
      <c r="BG291" s="1172">
        <v>8000</v>
      </c>
      <c r="BH291" s="1172">
        <v>12000</v>
      </c>
      <c r="BI291" s="1172">
        <v>16000</v>
      </c>
      <c r="BJ291" s="1185" t="s">
        <v>1894</v>
      </c>
      <c r="BK291" s="1185"/>
      <c r="BL291" s="1185" t="s">
        <v>1333</v>
      </c>
      <c r="BM291" s="1185"/>
      <c r="BN291" s="1186"/>
      <c r="BO291" s="1185" t="s">
        <v>2125</v>
      </c>
      <c r="BP291" s="1185"/>
      <c r="BQ291" s="1185"/>
      <c r="BR291" s="1185"/>
      <c r="BS291" s="1185"/>
      <c r="BT291" s="1185"/>
      <c r="BU291" s="1185"/>
      <c r="BW291" s="1181"/>
    </row>
    <row r="292" spans="21:75">
      <c r="U292" s="1060">
        <v>10</v>
      </c>
      <c r="V292" s="1060" t="s">
        <v>2124</v>
      </c>
      <c r="AY292" s="1184"/>
      <c r="AZ292" s="1189">
        <v>493</v>
      </c>
      <c r="BA292" s="1172">
        <v>12</v>
      </c>
      <c r="BB292" s="1188">
        <v>6.05</v>
      </c>
      <c r="BC292" s="1187">
        <v>7.5</v>
      </c>
      <c r="BD292" s="1172">
        <v>3000</v>
      </c>
      <c r="BE292" s="1172">
        <v>4000</v>
      </c>
      <c r="BF292" s="1172">
        <v>5000</v>
      </c>
      <c r="BG292" s="1172">
        <v>6000</v>
      </c>
      <c r="BH292" s="1172">
        <v>8000</v>
      </c>
      <c r="BI292" s="1172">
        <v>10000</v>
      </c>
      <c r="BJ292" s="1185" t="s">
        <v>1348</v>
      </c>
      <c r="BK292" s="1185"/>
      <c r="BL292" s="1185" t="s">
        <v>1333</v>
      </c>
      <c r="BM292" s="1185"/>
      <c r="BN292" s="1186"/>
      <c r="BO292" s="1185" t="s">
        <v>2123</v>
      </c>
      <c r="BP292" s="1185"/>
      <c r="BQ292" s="1185"/>
      <c r="BR292" s="1185"/>
      <c r="BS292" s="1185"/>
      <c r="BT292" s="1185"/>
      <c r="BU292" s="1185"/>
      <c r="BW292" s="1181"/>
    </row>
    <row r="293" spans="21:75">
      <c r="U293" s="1060">
        <v>11</v>
      </c>
      <c r="V293" s="1060" t="s">
        <v>2122</v>
      </c>
      <c r="AY293" s="1184"/>
      <c r="AZ293" s="1189">
        <v>502</v>
      </c>
      <c r="BA293" s="1172">
        <v>1</v>
      </c>
      <c r="BB293" s="1188">
        <v>5.0199999999999996</v>
      </c>
      <c r="BC293" s="1187">
        <v>7.1</v>
      </c>
      <c r="BD293" s="1172">
        <v>800</v>
      </c>
      <c r="BE293" s="1172">
        <v>1400</v>
      </c>
      <c r="BF293" s="1172">
        <v>2000</v>
      </c>
      <c r="BG293" s="1172">
        <v>2000</v>
      </c>
      <c r="BH293" s="1172">
        <v>3500</v>
      </c>
      <c r="BI293" s="1172">
        <v>4500</v>
      </c>
      <c r="BJ293" s="1185" t="s">
        <v>1894</v>
      </c>
      <c r="BK293" s="1185"/>
      <c r="BL293" s="1185" t="s">
        <v>1329</v>
      </c>
      <c r="BM293" s="1185"/>
      <c r="BN293" s="1186"/>
      <c r="BO293" s="1185" t="s">
        <v>2121</v>
      </c>
      <c r="BP293" s="1172"/>
      <c r="BQ293" s="1185"/>
      <c r="BR293" s="1185"/>
      <c r="BS293" s="1185"/>
      <c r="BT293" s="1185"/>
      <c r="BU293" s="1185"/>
      <c r="BW293" s="1181"/>
    </row>
    <row r="294" spans="21:75">
      <c r="U294" s="1060">
        <v>12</v>
      </c>
      <c r="V294" s="1060" t="s">
        <v>2120</v>
      </c>
      <c r="AY294" s="1184"/>
      <c r="AZ294" s="1189">
        <v>503</v>
      </c>
      <c r="BA294" s="1172">
        <v>1</v>
      </c>
      <c r="BB294" s="1188">
        <v>5.0199999999999996</v>
      </c>
      <c r="BC294" s="1187">
        <v>7.1</v>
      </c>
      <c r="BD294" s="1172">
        <v>800</v>
      </c>
      <c r="BE294" s="1172">
        <v>1400</v>
      </c>
      <c r="BF294" s="1172">
        <v>2000</v>
      </c>
      <c r="BG294" s="1172">
        <v>2000</v>
      </c>
      <c r="BH294" s="1172">
        <v>3500</v>
      </c>
      <c r="BI294" s="1172">
        <v>4500</v>
      </c>
      <c r="BJ294" s="1185" t="s">
        <v>1894</v>
      </c>
      <c r="BK294" s="1185"/>
      <c r="BL294" s="1185" t="s">
        <v>1329</v>
      </c>
      <c r="BM294" s="1185"/>
      <c r="BN294" s="1186"/>
      <c r="BO294" s="1185" t="s">
        <v>2119</v>
      </c>
      <c r="BP294" s="1185"/>
      <c r="BQ294" s="1185"/>
      <c r="BR294" s="1185"/>
      <c r="BS294" s="1185"/>
      <c r="BT294" s="1185"/>
      <c r="BU294" s="1185"/>
      <c r="BW294" s="1181"/>
    </row>
    <row r="295" spans="21:75">
      <c r="U295" s="1060">
        <v>13</v>
      </c>
      <c r="V295" s="1060" t="s">
        <v>2118</v>
      </c>
      <c r="AY295" s="1184"/>
      <c r="AZ295" s="1189">
        <v>504</v>
      </c>
      <c r="BA295" s="1172">
        <v>3</v>
      </c>
      <c r="BB295" s="1188">
        <v>5.0199999999999996</v>
      </c>
      <c r="BC295" s="1187">
        <v>7.1</v>
      </c>
      <c r="BD295" s="1172">
        <v>3000</v>
      </c>
      <c r="BE295" s="1172">
        <v>4000</v>
      </c>
      <c r="BF295" s="1172">
        <v>5000</v>
      </c>
      <c r="BG295" s="1172">
        <v>6000</v>
      </c>
      <c r="BH295" s="1172">
        <v>8000</v>
      </c>
      <c r="BI295" s="1172">
        <v>10000</v>
      </c>
      <c r="BJ295" s="1185" t="s">
        <v>1894</v>
      </c>
      <c r="BK295" s="1185"/>
      <c r="BL295" s="1185" t="s">
        <v>1329</v>
      </c>
      <c r="BM295" s="1185"/>
      <c r="BN295" s="1186"/>
      <c r="BO295" s="1185" t="s">
        <v>2117</v>
      </c>
      <c r="BP295" s="1185"/>
      <c r="BQ295" s="1185"/>
      <c r="BR295" s="1185"/>
      <c r="BS295" s="1185"/>
      <c r="BT295" s="1185"/>
      <c r="BU295" s="1185"/>
      <c r="BW295" s="1181"/>
    </row>
    <row r="296" spans="21:75">
      <c r="U296" s="1060">
        <v>14</v>
      </c>
      <c r="V296" s="1060" t="s">
        <v>2116</v>
      </c>
      <c r="AY296" s="1184"/>
      <c r="AZ296" s="1189">
        <v>505</v>
      </c>
      <c r="BA296" s="1172">
        <v>3</v>
      </c>
      <c r="BB296" s="1188">
        <v>5.0199999999999996</v>
      </c>
      <c r="BC296" s="1187">
        <v>7.1</v>
      </c>
      <c r="BD296" s="1172">
        <v>3000</v>
      </c>
      <c r="BE296" s="1172">
        <v>4000</v>
      </c>
      <c r="BF296" s="1172">
        <v>5000</v>
      </c>
      <c r="BG296" s="1172">
        <v>6000</v>
      </c>
      <c r="BH296" s="1172">
        <v>8000</v>
      </c>
      <c r="BI296" s="1172">
        <v>10000</v>
      </c>
      <c r="BJ296" s="1185" t="s">
        <v>1894</v>
      </c>
      <c r="BK296" s="1185"/>
      <c r="BL296" s="1185" t="s">
        <v>1329</v>
      </c>
      <c r="BM296" s="1185"/>
      <c r="BN296" s="1186"/>
      <c r="BO296" s="1185" t="s">
        <v>2115</v>
      </c>
      <c r="BP296" s="1185"/>
      <c r="BQ296" s="1185"/>
      <c r="BR296" s="1185"/>
      <c r="BS296" s="1185"/>
      <c r="BT296" s="1185"/>
      <c r="BU296" s="1185"/>
      <c r="BW296" s="1181"/>
    </row>
    <row r="297" spans="21:75">
      <c r="AY297" s="1184"/>
      <c r="AZ297" s="1189">
        <v>507</v>
      </c>
      <c r="BA297" s="1172">
        <v>1</v>
      </c>
      <c r="BB297" s="1188">
        <v>2.85</v>
      </c>
      <c r="BC297" s="1187">
        <v>7.7</v>
      </c>
      <c r="BD297" s="1172">
        <v>800</v>
      </c>
      <c r="BE297" s="1172">
        <v>1400</v>
      </c>
      <c r="BF297" s="1172">
        <v>2000</v>
      </c>
      <c r="BG297" s="1172">
        <v>2000</v>
      </c>
      <c r="BH297" s="1172">
        <v>3500</v>
      </c>
      <c r="BI297" s="1172">
        <v>4500</v>
      </c>
      <c r="BJ297" s="1185" t="s">
        <v>1894</v>
      </c>
      <c r="BK297" s="1185"/>
      <c r="BL297" s="1185" t="s">
        <v>1329</v>
      </c>
      <c r="BM297" s="1185"/>
      <c r="BN297" s="1186"/>
      <c r="BO297" s="1185" t="s">
        <v>2114</v>
      </c>
      <c r="BP297" s="1185"/>
      <c r="BQ297" s="1185"/>
      <c r="BR297" s="1185"/>
      <c r="BS297" s="1185"/>
      <c r="BT297" s="1185"/>
      <c r="BU297" s="1185"/>
      <c r="BW297" s="1181"/>
    </row>
    <row r="298" spans="21:75">
      <c r="AY298" s="1184"/>
      <c r="AZ298" s="1189">
        <v>510</v>
      </c>
      <c r="BA298" s="1172">
        <v>1</v>
      </c>
      <c r="BB298" s="1188">
        <v>2.85</v>
      </c>
      <c r="BC298" s="1187">
        <v>7.7</v>
      </c>
      <c r="BD298" s="1172">
        <v>800</v>
      </c>
      <c r="BE298" s="1172">
        <v>1400</v>
      </c>
      <c r="BF298" s="1172">
        <v>2000</v>
      </c>
      <c r="BG298" s="1172">
        <v>2000</v>
      </c>
      <c r="BH298" s="1172">
        <v>3500</v>
      </c>
      <c r="BI298" s="1172">
        <v>4500</v>
      </c>
      <c r="BJ298" s="1185" t="s">
        <v>1894</v>
      </c>
      <c r="BK298" s="1185"/>
      <c r="BL298" s="1185" t="s">
        <v>1329</v>
      </c>
      <c r="BM298" s="1185"/>
      <c r="BN298" s="1186"/>
      <c r="BO298" s="1185" t="s">
        <v>2113</v>
      </c>
      <c r="BP298" s="1185"/>
      <c r="BQ298" s="1185"/>
      <c r="BR298" s="1185"/>
      <c r="BS298" s="1185"/>
      <c r="BT298" s="1185"/>
      <c r="BU298" s="1185"/>
      <c r="BW298" s="1181"/>
    </row>
    <row r="299" spans="21:75">
      <c r="AY299" s="1184"/>
      <c r="AZ299" s="1189">
        <v>511</v>
      </c>
      <c r="BA299" s="1185">
        <v>12</v>
      </c>
      <c r="BB299" s="1188">
        <v>12.81</v>
      </c>
      <c r="BC299" s="1187">
        <v>6</v>
      </c>
      <c r="BD299" s="1172">
        <v>3000</v>
      </c>
      <c r="BE299" s="1172">
        <v>4000</v>
      </c>
      <c r="BF299" s="1172">
        <v>5000</v>
      </c>
      <c r="BG299" s="1172">
        <v>6000</v>
      </c>
      <c r="BH299" s="1172">
        <v>8000</v>
      </c>
      <c r="BI299" s="1172">
        <v>10000</v>
      </c>
      <c r="BJ299" s="1185" t="s">
        <v>1348</v>
      </c>
      <c r="BK299" s="1185"/>
      <c r="BL299" s="1185" t="s">
        <v>1390</v>
      </c>
      <c r="BM299" s="1185"/>
      <c r="BN299" s="1186"/>
      <c r="BO299" s="1185" t="s">
        <v>2112</v>
      </c>
      <c r="BP299" s="1185"/>
      <c r="BQ299" s="1185"/>
      <c r="BR299" s="1185"/>
      <c r="BS299" s="1185"/>
      <c r="BT299" s="1185"/>
      <c r="BU299" s="1185"/>
      <c r="BW299" s="1181"/>
    </row>
    <row r="300" spans="21:75">
      <c r="AY300" s="1184"/>
      <c r="AZ300" s="1189">
        <v>512</v>
      </c>
      <c r="BA300" s="1185">
        <v>12</v>
      </c>
      <c r="BB300" s="1188">
        <v>12.81</v>
      </c>
      <c r="BC300" s="1187">
        <v>6</v>
      </c>
      <c r="BD300" s="1172">
        <v>3000</v>
      </c>
      <c r="BE300" s="1172">
        <v>4000</v>
      </c>
      <c r="BF300" s="1172">
        <v>5000</v>
      </c>
      <c r="BG300" s="1172">
        <v>6000</v>
      </c>
      <c r="BH300" s="1172">
        <v>8000</v>
      </c>
      <c r="BI300" s="1172">
        <v>10000</v>
      </c>
      <c r="BJ300" s="1185" t="s">
        <v>1348</v>
      </c>
      <c r="BK300" s="1185"/>
      <c r="BL300" s="1185" t="s">
        <v>1390</v>
      </c>
      <c r="BM300" s="1185"/>
      <c r="BN300" s="1186"/>
      <c r="BO300" s="1185" t="s">
        <v>2111</v>
      </c>
      <c r="BP300" s="1185"/>
      <c r="BQ300" s="1185"/>
      <c r="BR300" s="1185"/>
      <c r="BS300" s="1185"/>
      <c r="BT300" s="1185"/>
      <c r="BU300" s="1185"/>
      <c r="BW300" s="1181"/>
    </row>
    <row r="301" spans="21:75">
      <c r="AY301" s="1184"/>
      <c r="AZ301" s="1189">
        <v>513</v>
      </c>
      <c r="BA301" s="1185">
        <v>12</v>
      </c>
      <c r="BB301" s="1188">
        <v>14.38</v>
      </c>
      <c r="BC301" s="1187">
        <v>5.2</v>
      </c>
      <c r="BD301" s="1172">
        <v>3000</v>
      </c>
      <c r="BE301" s="1172">
        <v>4000</v>
      </c>
      <c r="BF301" s="1172">
        <v>5000</v>
      </c>
      <c r="BG301" s="1172">
        <v>6000</v>
      </c>
      <c r="BH301" s="1172">
        <v>8000</v>
      </c>
      <c r="BI301" s="1172">
        <v>10000</v>
      </c>
      <c r="BJ301" s="1185" t="s">
        <v>1348</v>
      </c>
      <c r="BK301" s="1185"/>
      <c r="BL301" s="1185" t="s">
        <v>1390</v>
      </c>
      <c r="BM301" s="1185"/>
      <c r="BN301" s="1186"/>
      <c r="BO301" s="1185" t="s">
        <v>2110</v>
      </c>
      <c r="BP301" s="1185"/>
      <c r="BQ301" s="1185"/>
      <c r="BR301" s="1185"/>
      <c r="BS301" s="1185"/>
      <c r="BT301" s="1185"/>
      <c r="BU301" s="1185"/>
      <c r="BW301" s="1181"/>
    </row>
    <row r="302" spans="21:75">
      <c r="AY302" s="1184"/>
      <c r="AZ302" s="1189">
        <v>514</v>
      </c>
      <c r="BA302" s="1185">
        <v>5</v>
      </c>
      <c r="BB302" s="1188">
        <v>14.38</v>
      </c>
      <c r="BC302" s="1187">
        <v>5.2</v>
      </c>
      <c r="BD302" s="1172">
        <v>4000</v>
      </c>
      <c r="BE302" s="1172">
        <v>5000</v>
      </c>
      <c r="BF302" s="1172">
        <v>6000</v>
      </c>
      <c r="BG302" s="1172">
        <v>8000</v>
      </c>
      <c r="BH302" s="1172">
        <v>12000</v>
      </c>
      <c r="BI302" s="1172">
        <v>16000</v>
      </c>
      <c r="BJ302" s="1185" t="s">
        <v>1348</v>
      </c>
      <c r="BK302" s="1185"/>
      <c r="BL302" s="1185" t="s">
        <v>1390</v>
      </c>
      <c r="BM302" s="1185"/>
      <c r="BN302" s="1186"/>
      <c r="BO302" s="1185" t="s">
        <v>2109</v>
      </c>
      <c r="BP302" s="1185"/>
      <c r="BQ302" s="1185"/>
      <c r="BR302" s="1185"/>
      <c r="BS302" s="1185"/>
      <c r="BT302" s="1185"/>
      <c r="BU302" s="1185"/>
      <c r="BW302" s="1181"/>
    </row>
    <row r="303" spans="21:75">
      <c r="AY303" s="1184"/>
      <c r="AZ303" s="1189">
        <v>515</v>
      </c>
      <c r="BA303" s="1185">
        <v>16</v>
      </c>
      <c r="BB303" s="1188">
        <v>13.43</v>
      </c>
      <c r="BC303" s="1187">
        <v>6.1</v>
      </c>
      <c r="BD303" s="1172">
        <v>500</v>
      </c>
      <c r="BE303" s="1172">
        <v>1000</v>
      </c>
      <c r="BF303" s="1172">
        <v>1500</v>
      </c>
      <c r="BG303" s="1172">
        <v>2000</v>
      </c>
      <c r="BH303" s="1172">
        <v>2500</v>
      </c>
      <c r="BI303" s="1172">
        <v>3000</v>
      </c>
      <c r="BJ303" s="1185" t="s">
        <v>1892</v>
      </c>
      <c r="BK303" s="1185"/>
      <c r="BL303" s="1185" t="s">
        <v>1333</v>
      </c>
      <c r="BM303" s="1185"/>
      <c r="BN303" s="1186"/>
      <c r="BO303" s="1185" t="s">
        <v>2108</v>
      </c>
      <c r="BP303" s="1185"/>
      <c r="BQ303" s="1185"/>
      <c r="BR303" s="1185"/>
      <c r="BS303" s="1185"/>
      <c r="BT303" s="1185"/>
      <c r="BU303" s="1185"/>
      <c r="BW303" s="1181"/>
    </row>
    <row r="304" spans="21:75">
      <c r="AY304" s="1184"/>
      <c r="AZ304" s="1189">
        <v>516</v>
      </c>
      <c r="BA304" s="1185">
        <v>5</v>
      </c>
      <c r="BB304" s="1188">
        <v>5.13</v>
      </c>
      <c r="BC304" s="1187">
        <v>6.3</v>
      </c>
      <c r="BD304" s="1172">
        <v>4000</v>
      </c>
      <c r="BE304" s="1172">
        <v>5000</v>
      </c>
      <c r="BF304" s="1172">
        <v>6000</v>
      </c>
      <c r="BG304" s="1172">
        <v>8000</v>
      </c>
      <c r="BH304" s="1172">
        <v>12000</v>
      </c>
      <c r="BI304" s="1172">
        <v>16000</v>
      </c>
      <c r="BJ304" s="1185" t="s">
        <v>1348</v>
      </c>
      <c r="BK304" s="1185"/>
      <c r="BL304" s="1185" t="s">
        <v>1390</v>
      </c>
      <c r="BM304" s="1185"/>
      <c r="BN304" s="1186"/>
      <c r="BO304" s="1185" t="s">
        <v>2107</v>
      </c>
      <c r="BP304" s="1185"/>
      <c r="BQ304" s="1185"/>
      <c r="BR304" s="1185"/>
      <c r="BS304" s="1185"/>
      <c r="BT304" s="1185"/>
      <c r="BU304" s="1185"/>
      <c r="BW304" s="1181"/>
    </row>
    <row r="305" spans="51:75">
      <c r="AY305" s="1184"/>
      <c r="AZ305" s="1189">
        <v>517</v>
      </c>
      <c r="BA305" s="1185">
        <v>5</v>
      </c>
      <c r="BB305" s="1188">
        <v>5.13</v>
      </c>
      <c r="BC305" s="1187">
        <v>6.3</v>
      </c>
      <c r="BD305" s="1172">
        <v>4000</v>
      </c>
      <c r="BE305" s="1172">
        <v>5000</v>
      </c>
      <c r="BF305" s="1172">
        <v>6000</v>
      </c>
      <c r="BG305" s="1172">
        <v>8000</v>
      </c>
      <c r="BH305" s="1172">
        <v>12000</v>
      </c>
      <c r="BI305" s="1172">
        <v>16000</v>
      </c>
      <c r="BJ305" s="1185" t="s">
        <v>1348</v>
      </c>
      <c r="BK305" s="1185"/>
      <c r="BL305" s="1185" t="s">
        <v>1390</v>
      </c>
      <c r="BM305" s="1185"/>
      <c r="BN305" s="1186"/>
      <c r="BO305" s="1185" t="s">
        <v>2106</v>
      </c>
      <c r="BP305" s="1185"/>
      <c r="BQ305" s="1185"/>
      <c r="BR305" s="1185"/>
      <c r="BS305" s="1185"/>
      <c r="BT305" s="1185"/>
      <c r="BU305" s="1185"/>
      <c r="BW305" s="1181"/>
    </row>
    <row r="306" spans="51:75">
      <c r="AY306" s="1184"/>
      <c r="AZ306" s="1189">
        <v>518</v>
      </c>
      <c r="BA306" s="1185">
        <v>5</v>
      </c>
      <c r="BB306" s="1188">
        <v>5.13</v>
      </c>
      <c r="BC306" s="1187">
        <v>6.3</v>
      </c>
      <c r="BD306" s="1172">
        <v>4000</v>
      </c>
      <c r="BE306" s="1172">
        <v>5000</v>
      </c>
      <c r="BF306" s="1172">
        <v>6000</v>
      </c>
      <c r="BG306" s="1172">
        <v>8000</v>
      </c>
      <c r="BH306" s="1172">
        <v>12000</v>
      </c>
      <c r="BI306" s="1172">
        <v>16000</v>
      </c>
      <c r="BJ306" s="1185" t="s">
        <v>1348</v>
      </c>
      <c r="BK306" s="1185"/>
      <c r="BL306" s="1185" t="s">
        <v>1390</v>
      </c>
      <c r="BM306" s="1185"/>
      <c r="BN306" s="1186"/>
      <c r="BO306" s="1185" t="s">
        <v>2105</v>
      </c>
      <c r="BP306" s="1185"/>
      <c r="BQ306" s="1185"/>
      <c r="BR306" s="1185"/>
      <c r="BS306" s="1185"/>
      <c r="BT306" s="1185"/>
      <c r="BU306" s="1185"/>
      <c r="BW306" s="1181"/>
    </row>
    <row r="307" spans="51:75">
      <c r="AY307" s="1184"/>
      <c r="AZ307" s="1189">
        <v>519</v>
      </c>
      <c r="BA307" s="1185">
        <v>16</v>
      </c>
      <c r="BB307" s="1188">
        <v>1.78</v>
      </c>
      <c r="BC307" s="1187">
        <v>6.4</v>
      </c>
      <c r="BD307" s="1172">
        <v>500</v>
      </c>
      <c r="BE307" s="1172">
        <v>1000</v>
      </c>
      <c r="BF307" s="1172">
        <v>1500</v>
      </c>
      <c r="BG307" s="1172">
        <v>2000</v>
      </c>
      <c r="BH307" s="1172">
        <v>2500</v>
      </c>
      <c r="BI307" s="1172">
        <v>3000</v>
      </c>
      <c r="BJ307" s="1185" t="s">
        <v>1892</v>
      </c>
      <c r="BK307" s="1185"/>
      <c r="BL307" s="1185" t="s">
        <v>1390</v>
      </c>
      <c r="BM307" s="1185"/>
      <c r="BN307" s="1186"/>
      <c r="BO307" s="1185" t="s">
        <v>2104</v>
      </c>
      <c r="BP307" s="1185"/>
      <c r="BQ307" s="1185"/>
      <c r="BR307" s="1185"/>
      <c r="BS307" s="1185"/>
      <c r="BT307" s="1172"/>
      <c r="BU307" s="1185"/>
      <c r="BW307" s="1181"/>
    </row>
    <row r="308" spans="51:75">
      <c r="AY308" s="1184"/>
      <c r="AZ308" s="1189">
        <v>520</v>
      </c>
      <c r="BA308" s="1185">
        <v>3</v>
      </c>
      <c r="BB308" s="1188">
        <v>1.2</v>
      </c>
      <c r="BC308" s="1187">
        <v>6.2</v>
      </c>
      <c r="BD308" s="1172">
        <v>3000</v>
      </c>
      <c r="BE308" s="1172">
        <v>4000</v>
      </c>
      <c r="BF308" s="1172">
        <v>5000</v>
      </c>
      <c r="BG308" s="1172">
        <v>6000</v>
      </c>
      <c r="BH308" s="1172">
        <v>8000</v>
      </c>
      <c r="BI308" s="1172">
        <v>10000</v>
      </c>
      <c r="BJ308" s="1185" t="s">
        <v>1894</v>
      </c>
      <c r="BK308" s="1185"/>
      <c r="BL308" s="1185" t="s">
        <v>1333</v>
      </c>
      <c r="BM308" s="1185"/>
      <c r="BN308" s="1186"/>
      <c r="BO308" s="1185" t="s">
        <v>2103</v>
      </c>
      <c r="BP308" s="1185"/>
      <c r="BQ308" s="1185"/>
      <c r="BR308" s="1185"/>
      <c r="BS308" s="1185"/>
      <c r="BT308" s="1185"/>
      <c r="BU308" s="1185"/>
      <c r="BW308" s="1181"/>
    </row>
    <row r="309" spans="51:75">
      <c r="AY309" s="1184"/>
      <c r="AZ309" s="1189">
        <v>521</v>
      </c>
      <c r="BA309" s="1185">
        <v>3</v>
      </c>
      <c r="BB309" s="1188">
        <v>1.2</v>
      </c>
      <c r="BC309" s="1187">
        <v>6.2</v>
      </c>
      <c r="BD309" s="1172">
        <v>3000</v>
      </c>
      <c r="BE309" s="1172">
        <v>4000</v>
      </c>
      <c r="BF309" s="1172">
        <v>5000</v>
      </c>
      <c r="BG309" s="1172">
        <v>6000</v>
      </c>
      <c r="BH309" s="1172">
        <v>8000</v>
      </c>
      <c r="BI309" s="1172">
        <v>10000</v>
      </c>
      <c r="BJ309" s="1185" t="s">
        <v>1894</v>
      </c>
      <c r="BK309" s="1185"/>
      <c r="BL309" s="1185" t="s">
        <v>1333</v>
      </c>
      <c r="BM309" s="1185"/>
      <c r="BN309" s="1186"/>
      <c r="BO309" s="1185" t="s">
        <v>2102</v>
      </c>
      <c r="BP309" s="1185"/>
      <c r="BQ309" s="1185"/>
      <c r="BR309" s="1185"/>
      <c r="BS309" s="1185"/>
      <c r="BT309" s="1185"/>
      <c r="BU309" s="1185"/>
      <c r="BW309" s="1181"/>
    </row>
    <row r="310" spans="51:75">
      <c r="AY310" s="1184"/>
      <c r="AZ310" s="1189">
        <v>522</v>
      </c>
      <c r="BA310" s="1185">
        <v>5</v>
      </c>
      <c r="BB310" s="1188">
        <v>1.2</v>
      </c>
      <c r="BC310" s="1187">
        <v>6.2</v>
      </c>
      <c r="BD310" s="1172">
        <v>4000</v>
      </c>
      <c r="BE310" s="1172">
        <v>5000</v>
      </c>
      <c r="BF310" s="1172">
        <v>6000</v>
      </c>
      <c r="BG310" s="1172">
        <v>8000</v>
      </c>
      <c r="BH310" s="1172">
        <v>12000</v>
      </c>
      <c r="BI310" s="1172">
        <v>16000</v>
      </c>
      <c r="BJ310" s="1185" t="s">
        <v>1894</v>
      </c>
      <c r="BK310" s="1185"/>
      <c r="BL310" s="1185" t="s">
        <v>1333</v>
      </c>
      <c r="BM310" s="1185"/>
      <c r="BN310" s="1186"/>
      <c r="BO310" s="1185" t="s">
        <v>2101</v>
      </c>
      <c r="BP310" s="1185"/>
      <c r="BQ310" s="1185"/>
      <c r="BR310" s="1185"/>
      <c r="BS310" s="1185"/>
      <c r="BT310" s="1185"/>
      <c r="BU310" s="1185"/>
      <c r="BW310" s="1181"/>
    </row>
    <row r="311" spans="51:75">
      <c r="AY311" s="1184"/>
      <c r="AZ311" s="1189">
        <v>523</v>
      </c>
      <c r="BA311" s="1185">
        <v>3</v>
      </c>
      <c r="BB311" s="1188">
        <v>1.2</v>
      </c>
      <c r="BC311" s="1187">
        <v>6.2</v>
      </c>
      <c r="BD311" s="1172">
        <v>3000</v>
      </c>
      <c r="BE311" s="1172">
        <v>4000</v>
      </c>
      <c r="BF311" s="1172">
        <v>5000</v>
      </c>
      <c r="BG311" s="1172">
        <v>6000</v>
      </c>
      <c r="BH311" s="1172">
        <v>8000</v>
      </c>
      <c r="BI311" s="1172">
        <v>10000</v>
      </c>
      <c r="BJ311" s="1185" t="s">
        <v>1894</v>
      </c>
      <c r="BK311" s="1185"/>
      <c r="BL311" s="1185" t="s">
        <v>1333</v>
      </c>
      <c r="BM311" s="1185"/>
      <c r="BN311" s="1186"/>
      <c r="BO311" s="1185" t="s">
        <v>2100</v>
      </c>
      <c r="BP311" s="1185"/>
      <c r="BQ311" s="1185"/>
      <c r="BR311" s="1185"/>
      <c r="BS311" s="1185"/>
      <c r="BT311" s="1185"/>
      <c r="BU311" s="1185"/>
      <c r="BW311" s="1181"/>
    </row>
    <row r="312" spans="51:75">
      <c r="AY312" s="1184"/>
      <c r="AZ312" s="1189">
        <v>525</v>
      </c>
      <c r="BA312" s="1185">
        <v>5</v>
      </c>
      <c r="BB312" s="1188">
        <v>4.18</v>
      </c>
      <c r="BC312" s="1187">
        <v>6.4</v>
      </c>
      <c r="BD312" s="1172">
        <v>4000</v>
      </c>
      <c r="BE312" s="1172">
        <v>5000</v>
      </c>
      <c r="BF312" s="1172">
        <v>6000</v>
      </c>
      <c r="BG312" s="1172">
        <v>8000</v>
      </c>
      <c r="BH312" s="1172">
        <v>12000</v>
      </c>
      <c r="BI312" s="1172">
        <v>16000</v>
      </c>
      <c r="BJ312" s="1185" t="s">
        <v>1348</v>
      </c>
      <c r="BK312" s="1185"/>
      <c r="BL312" s="1185" t="s">
        <v>1390</v>
      </c>
      <c r="BM312" s="1185"/>
      <c r="BN312" s="1186"/>
      <c r="BO312" s="1185" t="s">
        <v>2099</v>
      </c>
      <c r="BP312" s="1185"/>
      <c r="BQ312" s="1185"/>
      <c r="BR312" s="1185"/>
      <c r="BS312" s="1185"/>
      <c r="BT312" s="1185"/>
      <c r="BU312" s="1185"/>
      <c r="BW312" s="1181"/>
    </row>
    <row r="313" spans="51:75">
      <c r="AY313" s="1184"/>
      <c r="AZ313" s="1189">
        <v>527</v>
      </c>
      <c r="BA313" s="1185">
        <v>5</v>
      </c>
      <c r="BB313" s="1188">
        <v>4.18</v>
      </c>
      <c r="BC313" s="1187">
        <v>6.4</v>
      </c>
      <c r="BD313" s="1172">
        <v>4000</v>
      </c>
      <c r="BE313" s="1172">
        <v>5000</v>
      </c>
      <c r="BF313" s="1172">
        <v>6000</v>
      </c>
      <c r="BG313" s="1172">
        <v>8000</v>
      </c>
      <c r="BH313" s="1172">
        <v>12000</v>
      </c>
      <c r="BI313" s="1172">
        <v>16000</v>
      </c>
      <c r="BJ313" s="1185" t="s">
        <v>1348</v>
      </c>
      <c r="BK313" s="1185"/>
      <c r="BL313" s="1185" t="s">
        <v>1390</v>
      </c>
      <c r="BM313" s="1185"/>
      <c r="BN313" s="1186"/>
      <c r="BO313" s="1185" t="s">
        <v>2098</v>
      </c>
      <c r="BP313" s="1185"/>
      <c r="BQ313" s="1185"/>
      <c r="BR313" s="1185"/>
      <c r="BS313" s="1185"/>
      <c r="BT313" s="1185"/>
      <c r="BU313" s="1185"/>
      <c r="BW313" s="1181"/>
    </row>
    <row r="314" spans="51:75">
      <c r="AY314" s="1184"/>
      <c r="AZ314" s="1189">
        <v>528</v>
      </c>
      <c r="BA314" s="1185">
        <v>5</v>
      </c>
      <c r="BB314" s="1188">
        <v>5.13</v>
      </c>
      <c r="BC314" s="1187">
        <v>6.3</v>
      </c>
      <c r="BD314" s="1172">
        <v>4000</v>
      </c>
      <c r="BE314" s="1172">
        <v>5000</v>
      </c>
      <c r="BF314" s="1172">
        <v>6000</v>
      </c>
      <c r="BG314" s="1172">
        <v>8000</v>
      </c>
      <c r="BH314" s="1172">
        <v>12000</v>
      </c>
      <c r="BI314" s="1172">
        <v>16000</v>
      </c>
      <c r="BJ314" s="1185" t="s">
        <v>1348</v>
      </c>
      <c r="BK314" s="1185"/>
      <c r="BL314" s="1185" t="s">
        <v>1390</v>
      </c>
      <c r="BM314" s="1185"/>
      <c r="BN314" s="1186"/>
      <c r="BO314" s="1185" t="s">
        <v>2097</v>
      </c>
      <c r="BP314" s="1185"/>
      <c r="BQ314" s="1185"/>
      <c r="BR314" s="1185"/>
      <c r="BS314" s="1185"/>
      <c r="BT314" s="1172"/>
      <c r="BU314" s="1185"/>
      <c r="BW314" s="1181"/>
    </row>
    <row r="315" spans="51:75">
      <c r="AY315" s="1184"/>
      <c r="AZ315" s="1189">
        <v>529</v>
      </c>
      <c r="BA315" s="1185">
        <v>5</v>
      </c>
      <c r="BB315" s="1188">
        <v>8.76</v>
      </c>
      <c r="BC315" s="1187">
        <v>5.0999999999999996</v>
      </c>
      <c r="BD315" s="1172">
        <v>4000</v>
      </c>
      <c r="BE315" s="1172">
        <v>5000</v>
      </c>
      <c r="BF315" s="1172">
        <v>6000</v>
      </c>
      <c r="BG315" s="1172">
        <v>8000</v>
      </c>
      <c r="BH315" s="1172">
        <v>12000</v>
      </c>
      <c r="BI315" s="1172">
        <v>16000</v>
      </c>
      <c r="BJ315" s="1185" t="s">
        <v>1348</v>
      </c>
      <c r="BK315" s="1185"/>
      <c r="BL315" s="1185" t="s">
        <v>1390</v>
      </c>
      <c r="BM315" s="1185"/>
      <c r="BN315" s="1186"/>
      <c r="BO315" s="1185" t="s">
        <v>2096</v>
      </c>
      <c r="BP315" s="1185"/>
      <c r="BQ315" s="1185"/>
      <c r="BR315" s="1185"/>
      <c r="BS315" s="1185"/>
      <c r="BT315" s="1185"/>
      <c r="BU315" s="1185"/>
      <c r="BW315" s="1181"/>
    </row>
    <row r="316" spans="51:75">
      <c r="AY316" s="1184"/>
      <c r="AZ316" s="1189">
        <v>530</v>
      </c>
      <c r="BA316" s="1185">
        <v>5</v>
      </c>
      <c r="BB316" s="1188">
        <v>14.38</v>
      </c>
      <c r="BC316" s="1187">
        <v>5.2</v>
      </c>
      <c r="BD316" s="1172">
        <v>4000</v>
      </c>
      <c r="BE316" s="1172">
        <v>5000</v>
      </c>
      <c r="BF316" s="1172">
        <v>6000</v>
      </c>
      <c r="BG316" s="1172">
        <v>8000</v>
      </c>
      <c r="BH316" s="1172">
        <v>12000</v>
      </c>
      <c r="BI316" s="1172">
        <v>16000</v>
      </c>
      <c r="BJ316" s="1185" t="s">
        <v>1348</v>
      </c>
      <c r="BK316" s="1185"/>
      <c r="BL316" s="1185" t="s">
        <v>1390</v>
      </c>
      <c r="BM316" s="1185"/>
      <c r="BN316" s="1186">
        <v>0.3</v>
      </c>
      <c r="BO316" s="1185" t="s">
        <v>2095</v>
      </c>
      <c r="BP316" s="1185"/>
      <c r="BQ316" s="1185"/>
      <c r="BR316" s="1185"/>
      <c r="BS316" s="1185"/>
      <c r="BT316" s="1185"/>
      <c r="BU316" s="1185"/>
      <c r="BW316" s="1181"/>
    </row>
    <row r="317" spans="51:75">
      <c r="AY317" s="1184"/>
      <c r="AZ317" s="1189">
        <v>531</v>
      </c>
      <c r="BA317" s="1185">
        <v>5</v>
      </c>
      <c r="BB317" s="1188">
        <v>14.38</v>
      </c>
      <c r="BC317" s="1187">
        <v>5.2</v>
      </c>
      <c r="BD317" s="1172">
        <v>4000</v>
      </c>
      <c r="BE317" s="1172">
        <v>5000</v>
      </c>
      <c r="BF317" s="1172">
        <v>6000</v>
      </c>
      <c r="BG317" s="1172">
        <v>8000</v>
      </c>
      <c r="BH317" s="1172">
        <v>12000</v>
      </c>
      <c r="BI317" s="1172">
        <v>16000</v>
      </c>
      <c r="BJ317" s="1185" t="s">
        <v>1348</v>
      </c>
      <c r="BK317" s="1185"/>
      <c r="BL317" s="1185" t="s">
        <v>1390</v>
      </c>
      <c r="BM317" s="1185"/>
      <c r="BN317" s="1186">
        <v>0.3</v>
      </c>
      <c r="BO317" s="1185" t="s">
        <v>2094</v>
      </c>
      <c r="BP317" s="1185"/>
      <c r="BQ317" s="1185"/>
      <c r="BR317" s="1185"/>
      <c r="BS317" s="1185"/>
      <c r="BT317" s="1185"/>
      <c r="BU317" s="1185"/>
      <c r="BW317" s="1181"/>
    </row>
    <row r="318" spans="51:75">
      <c r="AY318" s="1184"/>
      <c r="AZ318" s="1189">
        <v>532</v>
      </c>
      <c r="BA318" s="1185">
        <v>5</v>
      </c>
      <c r="BB318" s="1188">
        <v>8.76</v>
      </c>
      <c r="BC318" s="1187">
        <v>5.0999999999999996</v>
      </c>
      <c r="BD318" s="1172">
        <v>4000</v>
      </c>
      <c r="BE318" s="1172">
        <v>5000</v>
      </c>
      <c r="BF318" s="1172">
        <v>6000</v>
      </c>
      <c r="BG318" s="1172">
        <v>8000</v>
      </c>
      <c r="BH318" s="1172">
        <v>12000</v>
      </c>
      <c r="BI318" s="1172">
        <v>16000</v>
      </c>
      <c r="BJ318" s="1185" t="s">
        <v>1348</v>
      </c>
      <c r="BK318" s="1185"/>
      <c r="BL318" s="1185" t="s">
        <v>1390</v>
      </c>
      <c r="BM318" s="1185"/>
      <c r="BN318" s="1186"/>
      <c r="BO318" s="1185" t="s">
        <v>2093</v>
      </c>
      <c r="BP318" s="1185"/>
      <c r="BQ318" s="1185"/>
      <c r="BR318" s="1185"/>
      <c r="BS318" s="1185"/>
      <c r="BT318" s="1185"/>
      <c r="BU318" s="1185"/>
      <c r="BW318" s="1181"/>
    </row>
    <row r="319" spans="51:75">
      <c r="AY319" s="1184"/>
      <c r="AZ319" s="1189">
        <v>533</v>
      </c>
      <c r="BA319" s="1185">
        <v>5</v>
      </c>
      <c r="BB319" s="1188">
        <v>8.76</v>
      </c>
      <c r="BC319" s="1187">
        <v>5.0999999999999996</v>
      </c>
      <c r="BD319" s="1172">
        <v>4000</v>
      </c>
      <c r="BE319" s="1172">
        <v>5000</v>
      </c>
      <c r="BF319" s="1172">
        <v>6000</v>
      </c>
      <c r="BG319" s="1172">
        <v>8000</v>
      </c>
      <c r="BH319" s="1172">
        <v>12000</v>
      </c>
      <c r="BI319" s="1172">
        <v>16000</v>
      </c>
      <c r="BJ319" s="1185" t="s">
        <v>1348</v>
      </c>
      <c r="BK319" s="1185"/>
      <c r="BL319" s="1185" t="s">
        <v>1390</v>
      </c>
      <c r="BM319" s="1185"/>
      <c r="BN319" s="1186"/>
      <c r="BO319" s="1185" t="s">
        <v>2092</v>
      </c>
      <c r="BP319" s="1185"/>
      <c r="BQ319" s="1185"/>
      <c r="BR319" s="1185"/>
      <c r="BS319" s="1185"/>
      <c r="BT319" s="1185"/>
      <c r="BU319" s="1185"/>
      <c r="BW319" s="1181"/>
    </row>
    <row r="320" spans="51:75">
      <c r="AY320" s="1184"/>
      <c r="AZ320" s="1189">
        <v>534</v>
      </c>
      <c r="BA320" s="1185">
        <v>16</v>
      </c>
      <c r="BB320" s="1188">
        <v>50</v>
      </c>
      <c r="BC320" s="1187">
        <v>4.8</v>
      </c>
      <c r="BD320" s="1172">
        <v>500</v>
      </c>
      <c r="BE320" s="1172">
        <v>1000</v>
      </c>
      <c r="BF320" s="1172">
        <v>1500</v>
      </c>
      <c r="BG320" s="1172">
        <v>2000</v>
      </c>
      <c r="BH320" s="1172">
        <v>2500</v>
      </c>
      <c r="BI320" s="1172">
        <v>3000</v>
      </c>
      <c r="BJ320" s="1185" t="s">
        <v>1892</v>
      </c>
      <c r="BK320" s="1185"/>
      <c r="BL320" s="1185" t="s">
        <v>1390</v>
      </c>
      <c r="BM320" s="1185"/>
      <c r="BN320" s="1186">
        <v>0.4</v>
      </c>
      <c r="BO320" s="1185" t="s">
        <v>2091</v>
      </c>
      <c r="BP320" s="1185"/>
      <c r="BQ320" s="1185"/>
      <c r="BR320" s="1185"/>
      <c r="BS320" s="1185"/>
      <c r="BT320" s="1185"/>
      <c r="BU320" s="1185"/>
      <c r="BW320" s="1181"/>
    </row>
    <row r="321" spans="51:75">
      <c r="AY321" s="1184"/>
      <c r="AZ321" s="1189">
        <v>535</v>
      </c>
      <c r="BA321" s="1172">
        <v>3</v>
      </c>
      <c r="BB321" s="1188">
        <v>3.87</v>
      </c>
      <c r="BC321" s="1187">
        <v>5.6</v>
      </c>
      <c r="BD321" s="1172">
        <v>3000</v>
      </c>
      <c r="BE321" s="1172">
        <v>4000</v>
      </c>
      <c r="BF321" s="1172">
        <v>5000</v>
      </c>
      <c r="BG321" s="1172">
        <v>6000</v>
      </c>
      <c r="BH321" s="1172">
        <v>8000</v>
      </c>
      <c r="BI321" s="1172">
        <v>10000</v>
      </c>
      <c r="BJ321" s="1185" t="s">
        <v>1894</v>
      </c>
      <c r="BK321" s="1185"/>
      <c r="BL321" s="1185" t="s">
        <v>1329</v>
      </c>
      <c r="BM321" s="1185"/>
      <c r="BN321" s="1186">
        <v>0.3</v>
      </c>
      <c r="BO321" s="1185" t="s">
        <v>2090</v>
      </c>
      <c r="BP321" s="1185"/>
      <c r="BQ321" s="1185"/>
      <c r="BR321" s="1185"/>
      <c r="BS321" s="1185"/>
      <c r="BT321" s="1185"/>
      <c r="BU321" s="1185"/>
      <c r="BW321" s="1181"/>
    </row>
    <row r="322" spans="51:75">
      <c r="AY322" s="1184"/>
      <c r="AZ322" s="1189">
        <v>536</v>
      </c>
      <c r="BA322" s="1185">
        <v>3</v>
      </c>
      <c r="BB322" s="1188">
        <v>13.96</v>
      </c>
      <c r="BC322" s="1187">
        <v>5.7</v>
      </c>
      <c r="BD322" s="1172">
        <v>3000</v>
      </c>
      <c r="BE322" s="1172">
        <v>4000</v>
      </c>
      <c r="BF322" s="1172">
        <v>5000</v>
      </c>
      <c r="BG322" s="1172">
        <v>6000</v>
      </c>
      <c r="BH322" s="1172">
        <v>8000</v>
      </c>
      <c r="BI322" s="1172">
        <v>10000</v>
      </c>
      <c r="BJ322" s="1185" t="s">
        <v>1894</v>
      </c>
      <c r="BK322" s="1185"/>
      <c r="BL322" s="1185" t="s">
        <v>1333</v>
      </c>
      <c r="BM322" s="1185"/>
      <c r="BN322" s="1186"/>
      <c r="BO322" s="1185" t="s">
        <v>2089</v>
      </c>
      <c r="BP322" s="1185"/>
      <c r="BQ322" s="1185"/>
      <c r="BR322" s="1185"/>
      <c r="BS322" s="1185"/>
      <c r="BT322" s="1185"/>
      <c r="BU322" s="1185"/>
      <c r="BW322" s="1181"/>
    </row>
    <row r="323" spans="51:75">
      <c r="AY323" s="1184"/>
      <c r="AZ323" s="1189">
        <v>538</v>
      </c>
      <c r="BA323" s="1185">
        <v>3</v>
      </c>
      <c r="BB323" s="1188">
        <v>1.2</v>
      </c>
      <c r="BC323" s="1187">
        <v>6.2</v>
      </c>
      <c r="BD323" s="1172">
        <v>3000</v>
      </c>
      <c r="BE323" s="1172">
        <v>4000</v>
      </c>
      <c r="BF323" s="1172">
        <v>5000</v>
      </c>
      <c r="BG323" s="1172">
        <v>6000</v>
      </c>
      <c r="BH323" s="1172">
        <v>8000</v>
      </c>
      <c r="BI323" s="1172">
        <v>10000</v>
      </c>
      <c r="BJ323" s="1185" t="s">
        <v>1894</v>
      </c>
      <c r="BK323" s="1185"/>
      <c r="BL323" s="1185" t="s">
        <v>1333</v>
      </c>
      <c r="BM323" s="1185"/>
      <c r="BN323" s="1186"/>
      <c r="BO323" s="1185" t="s">
        <v>2088</v>
      </c>
      <c r="BP323" s="1185"/>
      <c r="BQ323" s="1185"/>
      <c r="BR323" s="1185"/>
      <c r="BS323" s="1185"/>
      <c r="BT323" s="1185"/>
      <c r="BU323" s="1185"/>
      <c r="BW323" s="1181"/>
    </row>
    <row r="324" spans="51:75">
      <c r="AY324" s="1184"/>
      <c r="AZ324" s="1189">
        <v>539</v>
      </c>
      <c r="BA324" s="1185">
        <v>5</v>
      </c>
      <c r="BB324" s="1188">
        <v>5.37</v>
      </c>
      <c r="BC324" s="1187">
        <v>6.8</v>
      </c>
      <c r="BD324" s="1172">
        <v>4000</v>
      </c>
      <c r="BE324" s="1172">
        <v>5000</v>
      </c>
      <c r="BF324" s="1172">
        <v>6000</v>
      </c>
      <c r="BG324" s="1172">
        <v>8000</v>
      </c>
      <c r="BH324" s="1172">
        <v>12000</v>
      </c>
      <c r="BI324" s="1172">
        <v>16000</v>
      </c>
      <c r="BJ324" s="1185" t="s">
        <v>1894</v>
      </c>
      <c r="BK324" s="1185"/>
      <c r="BL324" s="1185" t="s">
        <v>1333</v>
      </c>
      <c r="BM324" s="1185"/>
      <c r="BN324" s="1186">
        <v>0.3</v>
      </c>
      <c r="BO324" s="1185" t="s">
        <v>2087</v>
      </c>
      <c r="BP324" s="1185"/>
      <c r="BQ324" s="1185"/>
      <c r="BR324" s="1185"/>
      <c r="BS324" s="1185"/>
      <c r="BT324" s="1185"/>
      <c r="BU324" s="1185"/>
      <c r="BW324" s="1181"/>
    </row>
    <row r="325" spans="51:75">
      <c r="AY325" s="1184"/>
      <c r="AZ325" s="1189">
        <v>540</v>
      </c>
      <c r="BA325" s="1185">
        <v>3</v>
      </c>
      <c r="BB325" s="1188">
        <v>5.37</v>
      </c>
      <c r="BC325" s="1187">
        <v>6.8</v>
      </c>
      <c r="BD325" s="1172">
        <v>3000</v>
      </c>
      <c r="BE325" s="1172">
        <v>4000</v>
      </c>
      <c r="BF325" s="1172">
        <v>5000</v>
      </c>
      <c r="BG325" s="1172">
        <v>6000</v>
      </c>
      <c r="BH325" s="1172">
        <v>8000</v>
      </c>
      <c r="BI325" s="1172">
        <v>10000</v>
      </c>
      <c r="BJ325" s="1185" t="s">
        <v>1894</v>
      </c>
      <c r="BK325" s="1185"/>
      <c r="BL325" s="1185" t="s">
        <v>1333</v>
      </c>
      <c r="BM325" s="1185"/>
      <c r="BN325" s="1186">
        <v>0.3</v>
      </c>
      <c r="BO325" s="1185" t="s">
        <v>2086</v>
      </c>
      <c r="BP325" s="1185"/>
      <c r="BQ325" s="1185"/>
      <c r="BR325" s="1185"/>
      <c r="BS325" s="1185"/>
      <c r="BT325" s="1185"/>
      <c r="BU325" s="1185"/>
      <c r="BW325" s="1181"/>
    </row>
    <row r="326" spans="51:75">
      <c r="AY326" s="1184"/>
      <c r="AZ326" s="1189">
        <v>541</v>
      </c>
      <c r="BA326" s="1185">
        <v>3</v>
      </c>
      <c r="BB326" s="1188">
        <v>0</v>
      </c>
      <c r="BC326" s="1187">
        <v>7</v>
      </c>
      <c r="BD326" s="1172">
        <v>3000</v>
      </c>
      <c r="BE326" s="1172">
        <v>4000</v>
      </c>
      <c r="BF326" s="1172">
        <v>5000</v>
      </c>
      <c r="BG326" s="1172">
        <v>6000</v>
      </c>
      <c r="BH326" s="1172">
        <v>8000</v>
      </c>
      <c r="BI326" s="1172">
        <v>10000</v>
      </c>
      <c r="BJ326" s="1185"/>
      <c r="BK326" s="1185"/>
      <c r="BL326" s="1185"/>
      <c r="BM326" s="1185"/>
      <c r="BN326" s="1186">
        <v>0.7</v>
      </c>
      <c r="BO326" s="1185" t="s">
        <v>2085</v>
      </c>
      <c r="BP326" s="1185"/>
      <c r="BQ326" s="1185"/>
      <c r="BR326" s="1185"/>
      <c r="BS326" s="1185"/>
      <c r="BT326" s="1185"/>
      <c r="BU326" s="1185"/>
      <c r="BW326" s="1181"/>
    </row>
    <row r="327" spans="51:75">
      <c r="AY327" s="1184"/>
      <c r="AZ327" s="1189">
        <v>551</v>
      </c>
      <c r="BA327" s="1185">
        <v>16</v>
      </c>
      <c r="BB327" s="1188">
        <v>9.08</v>
      </c>
      <c r="BC327" s="1187">
        <v>6.4</v>
      </c>
      <c r="BD327" s="1172">
        <v>500</v>
      </c>
      <c r="BE327" s="1172">
        <v>750</v>
      </c>
      <c r="BF327" s="1172">
        <v>1000</v>
      </c>
      <c r="BG327" s="1172">
        <v>7000</v>
      </c>
      <c r="BH327" s="1172">
        <v>1500</v>
      </c>
      <c r="BI327" s="1172">
        <v>2000</v>
      </c>
      <c r="BJ327" s="1185" t="s">
        <v>1892</v>
      </c>
      <c r="BK327" s="1185"/>
      <c r="BL327" s="1185" t="s">
        <v>1390</v>
      </c>
      <c r="BM327" s="1185"/>
      <c r="BN327" s="1186"/>
      <c r="BO327" s="1185" t="s">
        <v>2084</v>
      </c>
      <c r="BP327" s="1185"/>
      <c r="BQ327" s="1185"/>
      <c r="BR327" s="1185"/>
      <c r="BS327" s="1185"/>
      <c r="BT327" s="1185"/>
      <c r="BU327" s="1185"/>
      <c r="BW327" s="1181"/>
    </row>
    <row r="328" spans="51:75">
      <c r="AY328" s="1184"/>
      <c r="AZ328" s="1189">
        <v>552</v>
      </c>
      <c r="BA328" s="1185">
        <v>16</v>
      </c>
      <c r="BB328" s="1188">
        <v>9.09</v>
      </c>
      <c r="BC328" s="1187">
        <v>6.2</v>
      </c>
      <c r="BD328" s="1172">
        <v>500</v>
      </c>
      <c r="BE328" s="1172">
        <v>750</v>
      </c>
      <c r="BF328" s="1172">
        <v>1000</v>
      </c>
      <c r="BG328" s="1172">
        <v>7000</v>
      </c>
      <c r="BH328" s="1172">
        <v>1500</v>
      </c>
      <c r="BI328" s="1172">
        <v>2000</v>
      </c>
      <c r="BJ328" s="1185" t="s">
        <v>1892</v>
      </c>
      <c r="BK328" s="1185"/>
      <c r="BL328" s="1185" t="s">
        <v>1390</v>
      </c>
      <c r="BM328" s="1185"/>
      <c r="BN328" s="1186"/>
      <c r="BO328" s="1185" t="s">
        <v>2083</v>
      </c>
      <c r="BP328" s="1185"/>
      <c r="BQ328" s="1185"/>
      <c r="BR328" s="1185"/>
      <c r="BS328" s="1185"/>
      <c r="BT328" s="1185"/>
      <c r="BU328" s="1185"/>
      <c r="BW328" s="1181"/>
    </row>
    <row r="329" spans="51:75">
      <c r="AY329" s="1184"/>
      <c r="AZ329" s="1189">
        <v>553</v>
      </c>
      <c r="BA329" s="1185">
        <v>12</v>
      </c>
      <c r="BB329" s="1188">
        <v>6.74</v>
      </c>
      <c r="BC329" s="1187">
        <v>5</v>
      </c>
      <c r="BD329" s="1172">
        <v>3000</v>
      </c>
      <c r="BE329" s="1172">
        <v>4000</v>
      </c>
      <c r="BF329" s="1172">
        <v>5000</v>
      </c>
      <c r="BG329" s="1172">
        <v>6000</v>
      </c>
      <c r="BH329" s="1172">
        <v>8000</v>
      </c>
      <c r="BI329" s="1172">
        <v>10000</v>
      </c>
      <c r="BJ329" s="1185" t="s">
        <v>1348</v>
      </c>
      <c r="BK329" s="1185"/>
      <c r="BL329" s="1185" t="s">
        <v>1390</v>
      </c>
      <c r="BM329" s="1185"/>
      <c r="BN329" s="1186"/>
      <c r="BO329" s="1185" t="s">
        <v>2082</v>
      </c>
      <c r="BP329" s="1185"/>
      <c r="BQ329" s="1185"/>
      <c r="BR329" s="1185"/>
      <c r="BS329" s="1185"/>
      <c r="BT329" s="1185"/>
      <c r="BU329" s="1185"/>
      <c r="BW329" s="1181"/>
    </row>
    <row r="330" spans="51:75">
      <c r="AY330" s="1184"/>
      <c r="AZ330" s="1189">
        <v>554</v>
      </c>
      <c r="BA330" s="1172">
        <v>13</v>
      </c>
      <c r="BB330" s="1188">
        <v>4.8899999999999997</v>
      </c>
      <c r="BC330" s="1187">
        <v>6.8</v>
      </c>
      <c r="BD330" s="1172">
        <v>4000</v>
      </c>
      <c r="BE330" s="1172">
        <v>6000</v>
      </c>
      <c r="BF330" s="1172">
        <v>8000</v>
      </c>
      <c r="BG330" s="1172">
        <v>9000</v>
      </c>
      <c r="BH330" s="1172">
        <v>12000</v>
      </c>
      <c r="BI330" s="1172">
        <v>15000</v>
      </c>
      <c r="BJ330" s="1185" t="s">
        <v>1348</v>
      </c>
      <c r="BK330" s="1185"/>
      <c r="BL330" s="1185" t="s">
        <v>1333</v>
      </c>
      <c r="BM330" s="1185"/>
      <c r="BN330" s="1186">
        <v>0.2</v>
      </c>
      <c r="BO330" s="1185" t="s">
        <v>2081</v>
      </c>
      <c r="BP330" s="1185"/>
      <c r="BQ330" s="1185"/>
      <c r="BR330" s="1185"/>
      <c r="BS330" s="1185"/>
      <c r="BT330" s="1185"/>
      <c r="BU330" s="1185"/>
      <c r="BW330" s="1181"/>
    </row>
    <row r="331" spans="51:75">
      <c r="AY331" s="1184"/>
      <c r="AZ331" s="1189">
        <v>555</v>
      </c>
      <c r="BA331" s="1185">
        <v>5</v>
      </c>
      <c r="BB331" s="1188">
        <v>6.74</v>
      </c>
      <c r="BC331" s="1187">
        <v>5</v>
      </c>
      <c r="BD331" s="1172">
        <v>4000</v>
      </c>
      <c r="BE331" s="1172">
        <v>5000</v>
      </c>
      <c r="BF331" s="1172">
        <v>6000</v>
      </c>
      <c r="BG331" s="1172">
        <v>8000</v>
      </c>
      <c r="BH331" s="1172">
        <v>12000</v>
      </c>
      <c r="BI331" s="1172">
        <v>16000</v>
      </c>
      <c r="BJ331" s="1185" t="s">
        <v>1348</v>
      </c>
      <c r="BK331" s="1185"/>
      <c r="BL331" s="1185"/>
      <c r="BM331" s="1185"/>
      <c r="BN331" s="1186">
        <v>0.45</v>
      </c>
      <c r="BO331" s="1185" t="s">
        <v>2080</v>
      </c>
      <c r="BP331" s="1185"/>
      <c r="BQ331" s="1185"/>
      <c r="BR331" s="1185"/>
      <c r="BS331" s="1185"/>
      <c r="BT331" s="1185"/>
      <c r="BU331" s="1185"/>
      <c r="BW331" s="1181"/>
    </row>
    <row r="332" spans="51:75">
      <c r="AY332" s="1184"/>
      <c r="AZ332" s="1189">
        <v>557</v>
      </c>
      <c r="BA332" s="1172">
        <v>5</v>
      </c>
      <c r="BB332" s="1188">
        <v>0.53</v>
      </c>
      <c r="BC332" s="1187">
        <v>5.5</v>
      </c>
      <c r="BD332" s="1172">
        <v>4000</v>
      </c>
      <c r="BE332" s="1172">
        <v>5000</v>
      </c>
      <c r="BF332" s="1172">
        <v>6000</v>
      </c>
      <c r="BG332" s="1172">
        <v>8000</v>
      </c>
      <c r="BH332" s="1172">
        <v>12000</v>
      </c>
      <c r="BI332" s="1172">
        <v>16000</v>
      </c>
      <c r="BJ332" s="1185" t="s">
        <v>1348</v>
      </c>
      <c r="BK332" s="1185"/>
      <c r="BL332" s="1185" t="s">
        <v>1390</v>
      </c>
      <c r="BM332" s="1185"/>
      <c r="BN332" s="1186"/>
      <c r="BO332" s="1185" t="s">
        <v>2079</v>
      </c>
      <c r="BP332" s="1185"/>
      <c r="BQ332" s="1185"/>
      <c r="BR332" s="1185"/>
      <c r="BS332" s="1185"/>
      <c r="BT332" s="1185"/>
      <c r="BU332" s="1185"/>
      <c r="BW332" s="1181"/>
    </row>
    <row r="333" spans="51:75">
      <c r="AY333" s="1184"/>
      <c r="AZ333" s="1189">
        <v>558</v>
      </c>
      <c r="BA333" s="1185">
        <v>5</v>
      </c>
      <c r="BB333" s="1188">
        <v>12.81</v>
      </c>
      <c r="BC333" s="1187">
        <v>6</v>
      </c>
      <c r="BD333" s="1172">
        <v>4000</v>
      </c>
      <c r="BE333" s="1172">
        <v>5000</v>
      </c>
      <c r="BF333" s="1172">
        <v>6000</v>
      </c>
      <c r="BG333" s="1172">
        <v>8000</v>
      </c>
      <c r="BH333" s="1172">
        <v>12000</v>
      </c>
      <c r="BI333" s="1172">
        <v>16000</v>
      </c>
      <c r="BJ333" s="1185" t="s">
        <v>1348</v>
      </c>
      <c r="BK333" s="1185"/>
      <c r="BL333" s="1185" t="s">
        <v>1390</v>
      </c>
      <c r="BM333" s="1185"/>
      <c r="BN333" s="1186"/>
      <c r="BO333" s="1185" t="s">
        <v>2078</v>
      </c>
      <c r="BP333" s="1185"/>
      <c r="BQ333" s="1185"/>
      <c r="BR333" s="1185"/>
      <c r="BS333" s="1185"/>
      <c r="BT333" s="1185"/>
      <c r="BU333" s="1185"/>
      <c r="BW333" s="1181"/>
    </row>
    <row r="334" spans="51:75">
      <c r="AY334" s="1184"/>
      <c r="AZ334" s="1189">
        <v>559</v>
      </c>
      <c r="BA334" s="1185">
        <v>5</v>
      </c>
      <c r="BB334" s="1188">
        <v>5.13</v>
      </c>
      <c r="BC334" s="1187">
        <v>6.3</v>
      </c>
      <c r="BD334" s="1172">
        <v>4000</v>
      </c>
      <c r="BE334" s="1172">
        <v>5000</v>
      </c>
      <c r="BF334" s="1172">
        <v>6000</v>
      </c>
      <c r="BG334" s="1172">
        <v>8000</v>
      </c>
      <c r="BH334" s="1172">
        <v>12000</v>
      </c>
      <c r="BI334" s="1172">
        <v>16000</v>
      </c>
      <c r="BJ334" s="1185" t="s">
        <v>1348</v>
      </c>
      <c r="BK334" s="1185"/>
      <c r="BL334" s="1185" t="s">
        <v>1390</v>
      </c>
      <c r="BM334" s="1185"/>
      <c r="BN334" s="1186"/>
      <c r="BO334" s="1185" t="s">
        <v>2077</v>
      </c>
      <c r="BP334" s="1185"/>
      <c r="BQ334" s="1185"/>
      <c r="BR334" s="1185"/>
      <c r="BS334" s="1185"/>
      <c r="BT334" s="1185"/>
      <c r="BU334" s="1185"/>
      <c r="BW334" s="1181"/>
    </row>
    <row r="335" spans="51:75">
      <c r="AY335" s="1184"/>
      <c r="AZ335" s="1189">
        <v>561</v>
      </c>
      <c r="BA335" s="1185">
        <v>5</v>
      </c>
      <c r="BB335" s="1188">
        <v>12.81</v>
      </c>
      <c r="BC335" s="1187">
        <v>6</v>
      </c>
      <c r="BD335" s="1172">
        <v>4000</v>
      </c>
      <c r="BE335" s="1172">
        <v>5000</v>
      </c>
      <c r="BF335" s="1172">
        <v>6000</v>
      </c>
      <c r="BG335" s="1172">
        <v>8000</v>
      </c>
      <c r="BH335" s="1172">
        <v>12000</v>
      </c>
      <c r="BI335" s="1172">
        <v>16000</v>
      </c>
      <c r="BJ335" s="1185" t="s">
        <v>1348</v>
      </c>
      <c r="BK335" s="1185"/>
      <c r="BL335" s="1185" t="s">
        <v>1390</v>
      </c>
      <c r="BM335" s="1185"/>
      <c r="BN335" s="1186"/>
      <c r="BO335" s="1185" t="s">
        <v>2076</v>
      </c>
      <c r="BP335" s="1185"/>
      <c r="BQ335" s="1185"/>
      <c r="BR335" s="1185"/>
      <c r="BS335" s="1185"/>
      <c r="BT335" s="1185"/>
      <c r="BU335" s="1185"/>
      <c r="BW335" s="1181"/>
    </row>
    <row r="336" spans="51:75">
      <c r="AY336" s="1184"/>
      <c r="AZ336" s="1189">
        <v>562</v>
      </c>
      <c r="BA336" s="1185">
        <v>5</v>
      </c>
      <c r="BB336" s="1188">
        <v>12.81</v>
      </c>
      <c r="BC336" s="1187">
        <v>6</v>
      </c>
      <c r="BD336" s="1172">
        <v>4000</v>
      </c>
      <c r="BE336" s="1172">
        <v>5000</v>
      </c>
      <c r="BF336" s="1172">
        <v>6000</v>
      </c>
      <c r="BG336" s="1172">
        <v>8000</v>
      </c>
      <c r="BH336" s="1172">
        <v>12000</v>
      </c>
      <c r="BI336" s="1172">
        <v>16000</v>
      </c>
      <c r="BJ336" s="1185" t="s">
        <v>1348</v>
      </c>
      <c r="BK336" s="1185"/>
      <c r="BL336" s="1185" t="s">
        <v>1390</v>
      </c>
      <c r="BM336" s="1185"/>
      <c r="BN336" s="1186"/>
      <c r="BO336" s="1185" t="s">
        <v>2075</v>
      </c>
      <c r="BP336" s="1185"/>
      <c r="BQ336" s="1185"/>
      <c r="BR336" s="1185"/>
      <c r="BS336" s="1185"/>
      <c r="BT336" s="1185"/>
      <c r="BU336" s="1185"/>
      <c r="BW336" s="1181"/>
    </row>
    <row r="337" spans="51:75">
      <c r="AY337" s="1184"/>
      <c r="AZ337" s="1189">
        <v>563</v>
      </c>
      <c r="BA337" s="1185">
        <v>5</v>
      </c>
      <c r="BB337" s="1188">
        <v>5.13</v>
      </c>
      <c r="BC337" s="1187">
        <v>6.3</v>
      </c>
      <c r="BD337" s="1172">
        <v>4000</v>
      </c>
      <c r="BE337" s="1172">
        <v>5000</v>
      </c>
      <c r="BF337" s="1172">
        <v>6000</v>
      </c>
      <c r="BG337" s="1172">
        <v>8000</v>
      </c>
      <c r="BH337" s="1172">
        <v>12000</v>
      </c>
      <c r="BI337" s="1172">
        <v>16000</v>
      </c>
      <c r="BJ337" s="1185" t="s">
        <v>1348</v>
      </c>
      <c r="BK337" s="1185"/>
      <c r="BL337" s="1185" t="s">
        <v>1390</v>
      </c>
      <c r="BM337" s="1185"/>
      <c r="BN337" s="1186"/>
      <c r="BO337" s="1185" t="s">
        <v>2074</v>
      </c>
      <c r="BP337" s="1185"/>
      <c r="BQ337" s="1185"/>
      <c r="BR337" s="1185"/>
      <c r="BS337" s="1185"/>
      <c r="BT337" s="1185"/>
      <c r="BU337" s="1185"/>
      <c r="BW337" s="1181"/>
    </row>
    <row r="338" spans="51:75">
      <c r="AY338" s="1184"/>
      <c r="AZ338" s="1189">
        <v>565</v>
      </c>
      <c r="BA338" s="1185">
        <v>3</v>
      </c>
      <c r="BB338" s="1188">
        <v>0</v>
      </c>
      <c r="BC338" s="1187">
        <v>5.5</v>
      </c>
      <c r="BD338" s="1172">
        <v>3000</v>
      </c>
      <c r="BE338" s="1172">
        <v>4000</v>
      </c>
      <c r="BF338" s="1172">
        <v>5000</v>
      </c>
      <c r="BG338" s="1172">
        <v>6000</v>
      </c>
      <c r="BH338" s="1172">
        <v>8000</v>
      </c>
      <c r="BI338" s="1172">
        <v>10000</v>
      </c>
      <c r="BJ338" s="1185" t="s">
        <v>1894</v>
      </c>
      <c r="BK338" s="1185"/>
      <c r="BL338" s="1185" t="s">
        <v>1333</v>
      </c>
      <c r="BM338" s="1185"/>
      <c r="BN338" s="1186">
        <v>0.4</v>
      </c>
      <c r="BO338" s="1185" t="s">
        <v>2073</v>
      </c>
      <c r="BP338" s="1185"/>
      <c r="BQ338" s="1185"/>
      <c r="BR338" s="1185"/>
      <c r="BS338" s="1185"/>
      <c r="BT338" s="1185"/>
      <c r="BU338" s="1185"/>
      <c r="BW338" s="1181"/>
    </row>
    <row r="339" spans="51:75">
      <c r="AY339" s="1184"/>
      <c r="AZ339" s="1189">
        <v>567</v>
      </c>
      <c r="BA339" s="1185">
        <v>3</v>
      </c>
      <c r="BB339" s="1188">
        <v>4.95</v>
      </c>
      <c r="BC339" s="1187">
        <v>5.9</v>
      </c>
      <c r="BD339" s="1172">
        <v>3000</v>
      </c>
      <c r="BE339" s="1172">
        <v>4000</v>
      </c>
      <c r="BF339" s="1172">
        <v>5000</v>
      </c>
      <c r="BG339" s="1172">
        <v>6000</v>
      </c>
      <c r="BH339" s="1172">
        <v>8000</v>
      </c>
      <c r="BI339" s="1172">
        <v>10000</v>
      </c>
      <c r="BJ339" s="1185" t="s">
        <v>1894</v>
      </c>
      <c r="BK339" s="1185"/>
      <c r="BL339" s="1185" t="s">
        <v>1333</v>
      </c>
      <c r="BM339" s="1185"/>
      <c r="BN339" s="1186"/>
      <c r="BO339" s="1185" t="s">
        <v>2072</v>
      </c>
      <c r="BP339" s="1185"/>
      <c r="BQ339" s="1190"/>
      <c r="BR339" s="1185"/>
      <c r="BS339" s="1185"/>
      <c r="BT339" s="1185"/>
      <c r="BU339" s="1185"/>
      <c r="BW339" s="1181"/>
    </row>
    <row r="340" spans="51:75">
      <c r="AY340" s="1184"/>
      <c r="AZ340" s="1189">
        <v>568</v>
      </c>
      <c r="BA340" s="1185">
        <v>5</v>
      </c>
      <c r="BB340" s="1188">
        <v>8.76</v>
      </c>
      <c r="BC340" s="1187">
        <v>5.0999999999999996</v>
      </c>
      <c r="BD340" s="1172">
        <v>4000</v>
      </c>
      <c r="BE340" s="1172">
        <v>5000</v>
      </c>
      <c r="BF340" s="1172">
        <v>6000</v>
      </c>
      <c r="BG340" s="1172">
        <v>8000</v>
      </c>
      <c r="BH340" s="1172">
        <v>12000</v>
      </c>
      <c r="BI340" s="1172">
        <v>16000</v>
      </c>
      <c r="BJ340" s="1185" t="s">
        <v>1348</v>
      </c>
      <c r="BK340" s="1185"/>
      <c r="BL340" s="1185" t="s">
        <v>1390</v>
      </c>
      <c r="BM340" s="1185"/>
      <c r="BN340" s="1186"/>
      <c r="BO340" s="1185" t="s">
        <v>2071</v>
      </c>
      <c r="BP340" s="1185"/>
      <c r="BQ340" s="1185"/>
      <c r="BR340" s="1185"/>
      <c r="BS340" s="1185"/>
      <c r="BT340" s="1185"/>
      <c r="BU340" s="1185"/>
      <c r="BW340" s="1181"/>
    </row>
    <row r="341" spans="51:75">
      <c r="AY341" s="1184"/>
      <c r="AZ341" s="1189">
        <v>569</v>
      </c>
      <c r="BA341" s="1185">
        <v>3</v>
      </c>
      <c r="BB341" s="1188">
        <v>4.95</v>
      </c>
      <c r="BC341" s="1187">
        <v>5.9</v>
      </c>
      <c r="BD341" s="1172">
        <v>3000</v>
      </c>
      <c r="BE341" s="1172">
        <v>4000</v>
      </c>
      <c r="BF341" s="1172">
        <v>5000</v>
      </c>
      <c r="BG341" s="1172">
        <v>6000</v>
      </c>
      <c r="BH341" s="1172">
        <v>8000</v>
      </c>
      <c r="BI341" s="1172">
        <v>10000</v>
      </c>
      <c r="BJ341" s="1185" t="s">
        <v>1894</v>
      </c>
      <c r="BK341" s="1185"/>
      <c r="BL341" s="1185" t="s">
        <v>1333</v>
      </c>
      <c r="BM341" s="1185"/>
      <c r="BN341" s="1186"/>
      <c r="BO341" s="1185" t="s">
        <v>2070</v>
      </c>
      <c r="BP341" s="1185"/>
      <c r="BQ341" s="1185"/>
      <c r="BR341" s="1185"/>
      <c r="BS341" s="1185"/>
      <c r="BT341" s="1185"/>
      <c r="BU341" s="1185"/>
      <c r="BW341" s="1181"/>
    </row>
    <row r="342" spans="51:75">
      <c r="AY342" s="1184"/>
      <c r="AZ342" s="1189">
        <v>570</v>
      </c>
      <c r="BA342" s="1185">
        <v>3</v>
      </c>
      <c r="BB342" s="1188">
        <v>4</v>
      </c>
      <c r="BC342" s="1187">
        <v>6.9</v>
      </c>
      <c r="BD342" s="1172">
        <v>3000</v>
      </c>
      <c r="BE342" s="1172">
        <v>4000</v>
      </c>
      <c r="BF342" s="1172">
        <v>5000</v>
      </c>
      <c r="BG342" s="1172">
        <v>6000</v>
      </c>
      <c r="BH342" s="1172">
        <v>8000</v>
      </c>
      <c r="BI342" s="1172">
        <v>10000</v>
      </c>
      <c r="BJ342" s="1185" t="s">
        <v>1894</v>
      </c>
      <c r="BK342" s="1185"/>
      <c r="BL342" s="1185" t="s">
        <v>1333</v>
      </c>
      <c r="BM342" s="1185"/>
      <c r="BN342" s="1186">
        <v>0.2</v>
      </c>
      <c r="BO342" s="1185" t="s">
        <v>2069</v>
      </c>
      <c r="BP342" s="1185"/>
      <c r="BQ342" s="1185"/>
      <c r="BR342" s="1185"/>
      <c r="BS342" s="1185"/>
      <c r="BT342" s="1185"/>
      <c r="BU342" s="1185"/>
      <c r="BW342" s="1181"/>
    </row>
    <row r="343" spans="51:75">
      <c r="AY343" s="1184"/>
      <c r="AZ343" s="1189">
        <v>571</v>
      </c>
      <c r="BA343" s="1185">
        <v>3</v>
      </c>
      <c r="BB343" s="1188">
        <v>0</v>
      </c>
      <c r="BC343" s="1187">
        <v>5.6</v>
      </c>
      <c r="BD343" s="1172">
        <v>3000</v>
      </c>
      <c r="BE343" s="1172">
        <v>4000</v>
      </c>
      <c r="BF343" s="1172">
        <v>5000</v>
      </c>
      <c r="BG343" s="1172">
        <v>6000</v>
      </c>
      <c r="BH343" s="1172">
        <v>8000</v>
      </c>
      <c r="BI343" s="1172">
        <v>10000</v>
      </c>
      <c r="BJ343" s="1185" t="s">
        <v>1894</v>
      </c>
      <c r="BK343" s="1185"/>
      <c r="BL343" s="1185" t="s">
        <v>1333</v>
      </c>
      <c r="BM343" s="1185"/>
      <c r="BN343" s="1186">
        <v>0.3</v>
      </c>
      <c r="BO343" s="1185" t="s">
        <v>2068</v>
      </c>
      <c r="BP343" s="1185"/>
      <c r="BQ343" s="1185"/>
      <c r="BR343" s="1185"/>
      <c r="BS343" s="1185"/>
      <c r="BT343" s="1185"/>
      <c r="BU343" s="1185"/>
      <c r="BW343" s="1181"/>
    </row>
    <row r="344" spans="51:75">
      <c r="AY344" s="1184"/>
      <c r="AZ344" s="1189">
        <v>572</v>
      </c>
      <c r="BA344" s="1185">
        <v>16</v>
      </c>
      <c r="BB344" s="1188">
        <v>2.72</v>
      </c>
      <c r="BC344" s="1187">
        <v>5.3</v>
      </c>
      <c r="BD344" s="1172">
        <v>500</v>
      </c>
      <c r="BE344" s="1172">
        <v>1000</v>
      </c>
      <c r="BF344" s="1172">
        <v>1500</v>
      </c>
      <c r="BG344" s="1172">
        <v>2000</v>
      </c>
      <c r="BH344" s="1172">
        <v>2500</v>
      </c>
      <c r="BI344" s="1172">
        <v>3000</v>
      </c>
      <c r="BJ344" s="1185" t="s">
        <v>1892</v>
      </c>
      <c r="BK344" s="1185"/>
      <c r="BL344" s="1185" t="s">
        <v>1390</v>
      </c>
      <c r="BM344" s="1185"/>
      <c r="BN344" s="1186"/>
      <c r="BO344" s="1185" t="s">
        <v>2067</v>
      </c>
      <c r="BP344" s="1185"/>
      <c r="BQ344" s="1185"/>
      <c r="BR344" s="1185"/>
      <c r="BS344" s="1185"/>
      <c r="BT344" s="1185"/>
      <c r="BU344" s="1185"/>
      <c r="BW344" s="1181"/>
    </row>
    <row r="345" spans="51:75">
      <c r="AY345" s="1184"/>
      <c r="AZ345" s="1189">
        <v>573</v>
      </c>
      <c r="BA345" s="1185">
        <v>16</v>
      </c>
      <c r="BB345" s="1188">
        <v>9.73</v>
      </c>
      <c r="BC345" s="1187">
        <v>6.1</v>
      </c>
      <c r="BD345" s="1172">
        <v>500</v>
      </c>
      <c r="BE345" s="1172">
        <v>1000</v>
      </c>
      <c r="BF345" s="1172">
        <v>1500</v>
      </c>
      <c r="BG345" s="1172">
        <v>2000</v>
      </c>
      <c r="BH345" s="1172">
        <v>2500</v>
      </c>
      <c r="BI345" s="1172">
        <v>3000</v>
      </c>
      <c r="BJ345" s="1185" t="s">
        <v>1892</v>
      </c>
      <c r="BK345" s="1185"/>
      <c r="BL345" s="1185" t="s">
        <v>1390</v>
      </c>
      <c r="BM345" s="1185"/>
      <c r="BN345" s="1186"/>
      <c r="BO345" s="1185" t="s">
        <v>2066</v>
      </c>
      <c r="BP345" s="1185"/>
      <c r="BQ345" s="1185"/>
      <c r="BR345" s="1185"/>
      <c r="BS345" s="1185"/>
      <c r="BT345" s="1172"/>
      <c r="BU345" s="1185"/>
      <c r="BW345" s="1181"/>
    </row>
    <row r="346" spans="51:75">
      <c r="AY346" s="1184"/>
      <c r="AZ346" s="1189">
        <v>574</v>
      </c>
      <c r="BA346" s="1185">
        <v>16</v>
      </c>
      <c r="BB346" s="1188">
        <v>15.27</v>
      </c>
      <c r="BC346" s="1187">
        <v>6</v>
      </c>
      <c r="BD346" s="1172">
        <v>500</v>
      </c>
      <c r="BE346" s="1172">
        <v>750</v>
      </c>
      <c r="BF346" s="1172">
        <v>1000</v>
      </c>
      <c r="BG346" s="1172">
        <v>7000</v>
      </c>
      <c r="BH346" s="1172">
        <v>1500</v>
      </c>
      <c r="BI346" s="1172">
        <v>2000</v>
      </c>
      <c r="BJ346" s="1185" t="s">
        <v>1892</v>
      </c>
      <c r="BK346" s="1185"/>
      <c r="BL346" s="1185" t="s">
        <v>1333</v>
      </c>
      <c r="BM346" s="1185"/>
      <c r="BN346" s="1186">
        <v>0.35</v>
      </c>
      <c r="BO346" s="1185" t="s">
        <v>2065</v>
      </c>
      <c r="BP346" s="1185"/>
      <c r="BQ346" s="1185"/>
      <c r="BR346" s="1185"/>
      <c r="BS346" s="1185"/>
      <c r="BT346" s="1185"/>
      <c r="BU346" s="1185"/>
      <c r="BW346" s="1181"/>
    </row>
    <row r="347" spans="51:75">
      <c r="AY347" s="1184"/>
      <c r="AZ347" s="1189">
        <v>575</v>
      </c>
      <c r="BA347" s="1185">
        <v>16</v>
      </c>
      <c r="BB347" s="1188">
        <v>4.76</v>
      </c>
      <c r="BC347" s="1187">
        <v>5.4</v>
      </c>
      <c r="BD347" s="1172">
        <v>500</v>
      </c>
      <c r="BE347" s="1172">
        <v>1000</v>
      </c>
      <c r="BF347" s="1172">
        <v>1500</v>
      </c>
      <c r="BG347" s="1172">
        <v>2000</v>
      </c>
      <c r="BH347" s="1172">
        <v>2500</v>
      </c>
      <c r="BI347" s="1172">
        <v>3000</v>
      </c>
      <c r="BJ347" s="1185" t="s">
        <v>1892</v>
      </c>
      <c r="BK347" s="1185"/>
      <c r="BL347" s="1185" t="s">
        <v>1333</v>
      </c>
      <c r="BM347" s="1185"/>
      <c r="BN347" s="1186"/>
      <c r="BO347" s="1185" t="s">
        <v>2064</v>
      </c>
      <c r="BP347" s="1185"/>
      <c r="BQ347" s="1185"/>
      <c r="BR347" s="1185"/>
      <c r="BS347" s="1185"/>
      <c r="BT347" s="1185"/>
      <c r="BU347" s="1185"/>
      <c r="BW347" s="1181"/>
    </row>
    <row r="348" spans="51:75">
      <c r="AY348" s="1184"/>
      <c r="AZ348" s="1189">
        <v>576</v>
      </c>
      <c r="BA348" s="1185">
        <v>16</v>
      </c>
      <c r="BB348" s="1188">
        <v>21.96</v>
      </c>
      <c r="BC348" s="1187">
        <v>5.9</v>
      </c>
      <c r="BD348" s="1172">
        <v>500</v>
      </c>
      <c r="BE348" s="1172">
        <v>1000</v>
      </c>
      <c r="BF348" s="1172">
        <v>1500</v>
      </c>
      <c r="BG348" s="1172">
        <v>2000</v>
      </c>
      <c r="BH348" s="1172">
        <v>2500</v>
      </c>
      <c r="BI348" s="1172">
        <v>3000</v>
      </c>
      <c r="BJ348" s="1185" t="s">
        <v>1892</v>
      </c>
      <c r="BK348" s="1185"/>
      <c r="BL348" s="1185" t="s">
        <v>1390</v>
      </c>
      <c r="BM348" s="1185"/>
      <c r="BN348" s="1186"/>
      <c r="BO348" s="1185" t="s">
        <v>2063</v>
      </c>
      <c r="BP348" s="1185"/>
      <c r="BQ348" s="1185"/>
      <c r="BR348" s="1185"/>
      <c r="BS348" s="1185"/>
      <c r="BT348" s="1185"/>
      <c r="BU348" s="1185"/>
      <c r="BW348" s="1181"/>
    </row>
    <row r="349" spans="51:75">
      <c r="AY349" s="1184"/>
      <c r="AZ349" s="1189">
        <v>577</v>
      </c>
      <c r="BA349" s="1185">
        <v>16</v>
      </c>
      <c r="BB349" s="1188">
        <v>13.43</v>
      </c>
      <c r="BC349" s="1187">
        <v>6.1</v>
      </c>
      <c r="BD349" s="1172">
        <v>500</v>
      </c>
      <c r="BE349" s="1172">
        <v>1000</v>
      </c>
      <c r="BF349" s="1172">
        <v>1500</v>
      </c>
      <c r="BG349" s="1172">
        <v>2000</v>
      </c>
      <c r="BH349" s="1172">
        <v>2500</v>
      </c>
      <c r="BI349" s="1172">
        <v>3000</v>
      </c>
      <c r="BJ349" s="1185" t="s">
        <v>1892</v>
      </c>
      <c r="BK349" s="1185"/>
      <c r="BL349" s="1185" t="s">
        <v>1333</v>
      </c>
      <c r="BM349" s="1185"/>
      <c r="BN349" s="1186"/>
      <c r="BO349" s="1185" t="s">
        <v>2062</v>
      </c>
      <c r="BP349" s="1185"/>
      <c r="BQ349" s="1185"/>
      <c r="BR349" s="1185"/>
      <c r="BS349" s="1185"/>
      <c r="BT349" s="1185"/>
      <c r="BU349" s="1185"/>
      <c r="BW349" s="1181"/>
    </row>
    <row r="350" spans="51:75">
      <c r="AY350" s="1184"/>
      <c r="AZ350" s="1189">
        <v>578</v>
      </c>
      <c r="BA350" s="1185">
        <v>16</v>
      </c>
      <c r="BB350" s="1188">
        <v>2.72</v>
      </c>
      <c r="BC350" s="1187">
        <v>5.3</v>
      </c>
      <c r="BD350" s="1172">
        <v>500</v>
      </c>
      <c r="BE350" s="1172">
        <v>1000</v>
      </c>
      <c r="BF350" s="1172">
        <v>1500</v>
      </c>
      <c r="BG350" s="1172">
        <v>2000</v>
      </c>
      <c r="BH350" s="1172">
        <v>2500</v>
      </c>
      <c r="BI350" s="1172">
        <v>3000</v>
      </c>
      <c r="BJ350" s="1185" t="s">
        <v>1892</v>
      </c>
      <c r="BK350" s="1185"/>
      <c r="BL350" s="1185" t="s">
        <v>1390</v>
      </c>
      <c r="BM350" s="1185"/>
      <c r="BN350" s="1186"/>
      <c r="BO350" s="1185" t="s">
        <v>2061</v>
      </c>
      <c r="BP350" s="1185"/>
      <c r="BQ350" s="1185"/>
      <c r="BR350" s="1185"/>
      <c r="BS350" s="1185"/>
      <c r="BT350" s="1185"/>
      <c r="BU350" s="1185"/>
      <c r="BW350" s="1181"/>
    </row>
    <row r="351" spans="51:75">
      <c r="AY351" s="1184"/>
      <c r="AZ351" s="1189">
        <v>579</v>
      </c>
      <c r="BA351" s="1185">
        <v>16</v>
      </c>
      <c r="BB351" s="1188">
        <v>9.73</v>
      </c>
      <c r="BC351" s="1187">
        <v>6.1</v>
      </c>
      <c r="BD351" s="1172">
        <v>500</v>
      </c>
      <c r="BE351" s="1172">
        <v>1000</v>
      </c>
      <c r="BF351" s="1172">
        <v>1500</v>
      </c>
      <c r="BG351" s="1172">
        <v>2000</v>
      </c>
      <c r="BH351" s="1172">
        <v>2500</v>
      </c>
      <c r="BI351" s="1172">
        <v>3000</v>
      </c>
      <c r="BJ351" s="1185" t="s">
        <v>1892</v>
      </c>
      <c r="BK351" s="1185"/>
      <c r="BL351" s="1185" t="s">
        <v>1390</v>
      </c>
      <c r="BM351" s="1185"/>
      <c r="BN351" s="1186">
        <v>0.3</v>
      </c>
      <c r="BO351" s="1185" t="s">
        <v>2060</v>
      </c>
      <c r="BP351" s="1185"/>
      <c r="BQ351" s="1185"/>
      <c r="BR351" s="1185"/>
      <c r="BS351" s="1185"/>
      <c r="BT351" s="1185"/>
      <c r="BU351" s="1185"/>
      <c r="BW351" s="1181"/>
    </row>
    <row r="352" spans="51:75">
      <c r="AY352" s="1184"/>
      <c r="AZ352" s="1189">
        <v>601</v>
      </c>
      <c r="BA352" s="1185">
        <v>16</v>
      </c>
      <c r="BB352" s="1188">
        <v>9.73</v>
      </c>
      <c r="BC352" s="1187">
        <v>6.1</v>
      </c>
      <c r="BD352" s="1172">
        <v>500</v>
      </c>
      <c r="BE352" s="1172">
        <v>1000</v>
      </c>
      <c r="BF352" s="1172">
        <v>1500</v>
      </c>
      <c r="BG352" s="1172">
        <v>2000</v>
      </c>
      <c r="BH352" s="1172">
        <v>2500</v>
      </c>
      <c r="BI352" s="1172">
        <v>3000</v>
      </c>
      <c r="BJ352" s="1185" t="s">
        <v>1892</v>
      </c>
      <c r="BK352" s="1185"/>
      <c r="BL352" s="1185" t="s">
        <v>1390</v>
      </c>
      <c r="BM352" s="1185"/>
      <c r="BN352" s="1186">
        <v>0.25</v>
      </c>
      <c r="BO352" s="1185" t="s">
        <v>2059</v>
      </c>
      <c r="BP352" s="1185"/>
      <c r="BQ352" s="1185"/>
      <c r="BR352" s="1185"/>
      <c r="BS352" s="1185"/>
      <c r="BT352" s="1185"/>
      <c r="BU352" s="1185"/>
      <c r="BW352" s="1181"/>
    </row>
    <row r="353" spans="51:75">
      <c r="AY353" s="1184"/>
      <c r="AZ353" s="1189">
        <v>602</v>
      </c>
      <c r="BA353" s="1185">
        <v>16</v>
      </c>
      <c r="BB353" s="1188">
        <v>6.2</v>
      </c>
      <c r="BC353" s="1187">
        <v>6</v>
      </c>
      <c r="BD353" s="1172">
        <v>500</v>
      </c>
      <c r="BE353" s="1172">
        <v>1000</v>
      </c>
      <c r="BF353" s="1172">
        <v>1500</v>
      </c>
      <c r="BG353" s="1172">
        <v>2000</v>
      </c>
      <c r="BH353" s="1172">
        <v>2500</v>
      </c>
      <c r="BI353" s="1172">
        <v>3000</v>
      </c>
      <c r="BJ353" s="1185" t="s">
        <v>1892</v>
      </c>
      <c r="BK353" s="1185"/>
      <c r="BL353" s="1185" t="s">
        <v>1390</v>
      </c>
      <c r="BM353" s="1185"/>
      <c r="BN353" s="1186"/>
      <c r="BO353" s="1185" t="s">
        <v>2058</v>
      </c>
      <c r="BP353" s="1185"/>
      <c r="BQ353" s="1185"/>
      <c r="BR353" s="1185"/>
      <c r="BS353" s="1185"/>
      <c r="BT353" s="1185"/>
      <c r="BU353" s="1185"/>
      <c r="BW353" s="1181"/>
    </row>
    <row r="354" spans="51:75">
      <c r="AY354" s="1184"/>
      <c r="AZ354" s="1189">
        <v>603</v>
      </c>
      <c r="BA354" s="1185">
        <v>14</v>
      </c>
      <c r="BB354" s="1188">
        <v>1.98</v>
      </c>
      <c r="BC354" s="1187">
        <v>5.9</v>
      </c>
      <c r="BD354" s="1172">
        <v>1000</v>
      </c>
      <c r="BE354" s="1172">
        <v>1500</v>
      </c>
      <c r="BF354" s="1172">
        <v>2000</v>
      </c>
      <c r="BG354" s="1172">
        <v>2500</v>
      </c>
      <c r="BH354" s="1172">
        <v>3250</v>
      </c>
      <c r="BI354" s="1172">
        <v>4000</v>
      </c>
      <c r="BJ354" s="1185" t="s">
        <v>1348</v>
      </c>
      <c r="BK354" s="1185"/>
      <c r="BL354" s="1185" t="s">
        <v>1390</v>
      </c>
      <c r="BM354" s="1185"/>
      <c r="BN354" s="1186"/>
      <c r="BO354" s="1185" t="s">
        <v>2057</v>
      </c>
      <c r="BP354" s="1185"/>
      <c r="BQ354" s="1185"/>
      <c r="BR354" s="1185"/>
      <c r="BS354" s="1185"/>
      <c r="BT354" s="1185"/>
      <c r="BU354" s="1185"/>
      <c r="BW354" s="1181"/>
    </row>
    <row r="355" spans="51:75">
      <c r="AY355" s="1184"/>
      <c r="AZ355" s="1189">
        <v>604</v>
      </c>
      <c r="BA355" s="1185">
        <v>9</v>
      </c>
      <c r="BB355" s="1188">
        <v>21.22</v>
      </c>
      <c r="BC355" s="1187">
        <v>5.5</v>
      </c>
      <c r="BD355" s="1172">
        <v>3000</v>
      </c>
      <c r="BE355" s="1172">
        <v>5000</v>
      </c>
      <c r="BF355" s="1172">
        <v>7000</v>
      </c>
      <c r="BG355" s="1172">
        <v>7500</v>
      </c>
      <c r="BH355" s="1172">
        <v>10500</v>
      </c>
      <c r="BI355" s="1172">
        <v>14000</v>
      </c>
      <c r="BJ355" s="1185" t="s">
        <v>1348</v>
      </c>
      <c r="BK355" s="1185"/>
      <c r="BL355" s="1185" t="s">
        <v>1387</v>
      </c>
      <c r="BM355" s="1185"/>
      <c r="BN355" s="1186"/>
      <c r="BO355" s="1185" t="s">
        <v>2056</v>
      </c>
      <c r="BP355" s="1185"/>
      <c r="BQ355" s="1185"/>
      <c r="BR355" s="1185"/>
      <c r="BS355" s="1185"/>
      <c r="BT355" s="1185"/>
      <c r="BU355" s="1185"/>
      <c r="BW355" s="1181"/>
    </row>
    <row r="356" spans="51:75">
      <c r="AY356" s="1184"/>
      <c r="AZ356" s="1189">
        <v>605</v>
      </c>
      <c r="BA356" s="1185">
        <v>16</v>
      </c>
      <c r="BB356" s="1188">
        <v>9.73</v>
      </c>
      <c r="BC356" s="1187">
        <v>6.1</v>
      </c>
      <c r="BD356" s="1172">
        <v>500</v>
      </c>
      <c r="BE356" s="1172">
        <v>1000</v>
      </c>
      <c r="BF356" s="1172">
        <v>1500</v>
      </c>
      <c r="BG356" s="1172">
        <v>2000</v>
      </c>
      <c r="BH356" s="1172">
        <v>2500</v>
      </c>
      <c r="BI356" s="1172">
        <v>3000</v>
      </c>
      <c r="BJ356" s="1185" t="s">
        <v>1892</v>
      </c>
      <c r="BK356" s="1185"/>
      <c r="BL356" s="1185" t="s">
        <v>1390</v>
      </c>
      <c r="BM356" s="1185"/>
      <c r="BN356" s="1186"/>
      <c r="BO356" s="1185" t="s">
        <v>2055</v>
      </c>
      <c r="BP356" s="1185"/>
      <c r="BQ356" s="1185"/>
      <c r="BR356" s="1185"/>
      <c r="BS356" s="1185"/>
      <c r="BT356" s="1185"/>
      <c r="BU356" s="1185"/>
      <c r="BW356" s="1181"/>
    </row>
    <row r="357" spans="51:75">
      <c r="AY357" s="1184"/>
      <c r="AZ357" s="1189">
        <v>606</v>
      </c>
      <c r="BA357" s="1172">
        <v>13</v>
      </c>
      <c r="BB357" s="1188">
        <v>7.73</v>
      </c>
      <c r="BC357" s="1187">
        <v>6</v>
      </c>
      <c r="BD357" s="1172">
        <v>4000</v>
      </c>
      <c r="BE357" s="1172">
        <v>6000</v>
      </c>
      <c r="BF357" s="1172">
        <v>8000</v>
      </c>
      <c r="BG357" s="1172">
        <v>9000</v>
      </c>
      <c r="BH357" s="1172">
        <v>12000</v>
      </c>
      <c r="BI357" s="1172">
        <v>15000</v>
      </c>
      <c r="BJ357" s="1185" t="s">
        <v>1348</v>
      </c>
      <c r="BK357" s="1185"/>
      <c r="BL357" s="1185" t="s">
        <v>1390</v>
      </c>
      <c r="BM357" s="1185"/>
      <c r="BN357" s="1186"/>
      <c r="BO357" s="1185" t="s">
        <v>2054</v>
      </c>
      <c r="BP357" s="1185"/>
      <c r="BQ357" s="1185"/>
      <c r="BR357" s="1185"/>
      <c r="BS357" s="1185"/>
      <c r="BT357" s="1185"/>
      <c r="BU357" s="1185"/>
      <c r="BW357" s="1181"/>
    </row>
    <row r="358" spans="51:75">
      <c r="AY358" s="1184"/>
      <c r="AZ358" s="1189">
        <v>607</v>
      </c>
      <c r="BA358" s="1185">
        <v>16</v>
      </c>
      <c r="BB358" s="1188">
        <v>9.73</v>
      </c>
      <c r="BC358" s="1187">
        <v>6.1</v>
      </c>
      <c r="BD358" s="1172">
        <v>500</v>
      </c>
      <c r="BE358" s="1172">
        <v>1000</v>
      </c>
      <c r="BF358" s="1172">
        <v>1500</v>
      </c>
      <c r="BG358" s="1172">
        <v>2000</v>
      </c>
      <c r="BH358" s="1172">
        <v>2500</v>
      </c>
      <c r="BI358" s="1172">
        <v>3000</v>
      </c>
      <c r="BJ358" s="1185" t="s">
        <v>1892</v>
      </c>
      <c r="BK358" s="1185"/>
      <c r="BL358" s="1185" t="s">
        <v>1390</v>
      </c>
      <c r="BM358" s="1185"/>
      <c r="BN358" s="1186"/>
      <c r="BO358" s="1185" t="s">
        <v>2053</v>
      </c>
      <c r="BP358" s="1185"/>
      <c r="BQ358" s="1185"/>
      <c r="BR358" s="1185"/>
      <c r="BS358" s="1185"/>
      <c r="BT358" s="1185"/>
      <c r="BU358" s="1185"/>
      <c r="BW358" s="1181"/>
    </row>
    <row r="359" spans="51:75">
      <c r="AY359" s="1184"/>
      <c r="AZ359" s="1189">
        <v>608</v>
      </c>
      <c r="BA359" s="1185">
        <v>16</v>
      </c>
      <c r="BB359" s="1188">
        <v>2.41</v>
      </c>
      <c r="BC359" s="1187">
        <v>4.5999999999999996</v>
      </c>
      <c r="BD359" s="1172">
        <v>500</v>
      </c>
      <c r="BE359" s="1172">
        <v>1000</v>
      </c>
      <c r="BF359" s="1172">
        <v>1500</v>
      </c>
      <c r="BG359" s="1172">
        <v>2000</v>
      </c>
      <c r="BH359" s="1172">
        <v>2500</v>
      </c>
      <c r="BI359" s="1172">
        <v>3000</v>
      </c>
      <c r="BJ359" s="1185" t="s">
        <v>1892</v>
      </c>
      <c r="BK359" s="1185"/>
      <c r="BL359" s="1185" t="s">
        <v>1390</v>
      </c>
      <c r="BM359" s="1185"/>
      <c r="BN359" s="1186"/>
      <c r="BO359" s="1185" t="s">
        <v>2052</v>
      </c>
      <c r="BP359" s="1185"/>
      <c r="BQ359" s="1185"/>
      <c r="BR359" s="1185"/>
      <c r="BS359" s="1185"/>
      <c r="BT359" s="1185"/>
      <c r="BU359" s="1185"/>
      <c r="BW359" s="1181"/>
    </row>
    <row r="360" spans="51:75">
      <c r="AY360" s="1184"/>
      <c r="AZ360" s="1189">
        <v>609</v>
      </c>
      <c r="BA360" s="1185">
        <v>11</v>
      </c>
      <c r="BB360" s="1188">
        <v>5.1100000000000003</v>
      </c>
      <c r="BC360" s="1187">
        <v>4.9000000000000004</v>
      </c>
      <c r="BD360" s="1172">
        <v>3000</v>
      </c>
      <c r="BE360" s="1172">
        <v>4000</v>
      </c>
      <c r="BF360" s="1172">
        <v>5000</v>
      </c>
      <c r="BG360" s="1172">
        <v>7000</v>
      </c>
      <c r="BH360" s="1172">
        <v>8000</v>
      </c>
      <c r="BI360" s="1172">
        <v>9000</v>
      </c>
      <c r="BJ360" s="1185" t="s">
        <v>1892</v>
      </c>
      <c r="BK360" s="1185"/>
      <c r="BL360" s="1185" t="s">
        <v>1390</v>
      </c>
      <c r="BM360" s="1185"/>
      <c r="BN360" s="1186"/>
      <c r="BO360" s="1185" t="s">
        <v>2051</v>
      </c>
      <c r="BP360" s="1185"/>
      <c r="BQ360" s="1185"/>
      <c r="BR360" s="1185"/>
      <c r="BS360" s="1185"/>
      <c r="BT360" s="1185"/>
      <c r="BU360" s="1185"/>
      <c r="BW360" s="1181"/>
    </row>
    <row r="361" spans="51:75">
      <c r="AY361" s="1184"/>
      <c r="AZ361" s="1189">
        <v>610</v>
      </c>
      <c r="BA361" s="1185">
        <v>11</v>
      </c>
      <c r="BB361" s="1188">
        <v>5.32</v>
      </c>
      <c r="BC361" s="1187">
        <v>4.9000000000000004</v>
      </c>
      <c r="BD361" s="1172">
        <v>3000</v>
      </c>
      <c r="BE361" s="1172">
        <v>4000</v>
      </c>
      <c r="BF361" s="1172">
        <v>5000</v>
      </c>
      <c r="BG361" s="1172">
        <v>7000</v>
      </c>
      <c r="BH361" s="1172">
        <v>8000</v>
      </c>
      <c r="BI361" s="1172">
        <v>9000</v>
      </c>
      <c r="BJ361" s="1185" t="s">
        <v>1892</v>
      </c>
      <c r="BK361" s="1185"/>
      <c r="BL361" s="1185" t="s">
        <v>1390</v>
      </c>
      <c r="BM361" s="1185"/>
      <c r="BN361" s="1186"/>
      <c r="BO361" s="1185" t="s">
        <v>2050</v>
      </c>
      <c r="BP361" s="1185"/>
      <c r="BQ361" s="1185"/>
      <c r="BR361" s="1185"/>
      <c r="BS361" s="1185"/>
      <c r="BT361" s="1185"/>
      <c r="BU361" s="1185"/>
      <c r="BW361" s="1181"/>
    </row>
    <row r="362" spans="51:75">
      <c r="AY362" s="1184"/>
      <c r="AZ362" s="1189">
        <v>611</v>
      </c>
      <c r="BA362" s="1185">
        <v>16</v>
      </c>
      <c r="BB362" s="1188">
        <v>3.39</v>
      </c>
      <c r="BC362" s="1187">
        <v>6.1</v>
      </c>
      <c r="BD362" s="1172">
        <v>500</v>
      </c>
      <c r="BE362" s="1172">
        <v>1000</v>
      </c>
      <c r="BF362" s="1172">
        <v>1500</v>
      </c>
      <c r="BG362" s="1172">
        <v>2000</v>
      </c>
      <c r="BH362" s="1172">
        <v>2500</v>
      </c>
      <c r="BI362" s="1172">
        <v>3000</v>
      </c>
      <c r="BJ362" s="1185" t="s">
        <v>1892</v>
      </c>
      <c r="BK362" s="1185"/>
      <c r="BL362" s="1185" t="s">
        <v>1390</v>
      </c>
      <c r="BM362" s="1185"/>
      <c r="BN362" s="1186"/>
      <c r="BO362" s="1185" t="s">
        <v>2049</v>
      </c>
      <c r="BP362" s="1185"/>
      <c r="BQ362" s="1185"/>
      <c r="BR362" s="1185"/>
      <c r="BS362" s="1185"/>
      <c r="BT362" s="1185"/>
      <c r="BU362" s="1185"/>
      <c r="BW362" s="1181"/>
    </row>
    <row r="363" spans="51:75">
      <c r="AY363" s="1184"/>
      <c r="AZ363" s="1189">
        <v>612</v>
      </c>
      <c r="BA363" s="1185">
        <v>16</v>
      </c>
      <c r="BB363" s="1188">
        <v>3.39</v>
      </c>
      <c r="BC363" s="1187">
        <v>6.1</v>
      </c>
      <c r="BD363" s="1172">
        <v>500</v>
      </c>
      <c r="BE363" s="1172">
        <v>1000</v>
      </c>
      <c r="BF363" s="1172">
        <v>1500</v>
      </c>
      <c r="BG363" s="1172">
        <v>2000</v>
      </c>
      <c r="BH363" s="1172">
        <v>2500</v>
      </c>
      <c r="BI363" s="1172">
        <v>3000</v>
      </c>
      <c r="BJ363" s="1185" t="s">
        <v>1892</v>
      </c>
      <c r="BK363" s="1185"/>
      <c r="BL363" s="1185" t="s">
        <v>1390</v>
      </c>
      <c r="BM363" s="1185"/>
      <c r="BN363" s="1186"/>
      <c r="BO363" s="1185" t="s">
        <v>2048</v>
      </c>
      <c r="BP363" s="1185"/>
      <c r="BQ363" s="1185"/>
      <c r="BR363" s="1185"/>
      <c r="BS363" s="1185"/>
      <c r="BT363" s="1185"/>
      <c r="BU363" s="1185"/>
      <c r="BW363" s="1181"/>
    </row>
    <row r="364" spans="51:75">
      <c r="AY364" s="1184"/>
      <c r="AZ364" s="1189">
        <v>613</v>
      </c>
      <c r="BA364" s="1185">
        <v>11</v>
      </c>
      <c r="BB364" s="1188">
        <v>11.17</v>
      </c>
      <c r="BC364" s="1187">
        <v>6.7</v>
      </c>
      <c r="BD364" s="1172">
        <v>3000</v>
      </c>
      <c r="BE364" s="1172">
        <v>4000</v>
      </c>
      <c r="BF364" s="1172">
        <v>5000</v>
      </c>
      <c r="BG364" s="1172">
        <v>7000</v>
      </c>
      <c r="BH364" s="1172">
        <v>8000</v>
      </c>
      <c r="BI364" s="1172">
        <v>9000</v>
      </c>
      <c r="BJ364" s="1185" t="s">
        <v>1348</v>
      </c>
      <c r="BK364" s="1185"/>
      <c r="BL364" s="1185" t="s">
        <v>1390</v>
      </c>
      <c r="BM364" s="1185"/>
      <c r="BN364" s="1186"/>
      <c r="BO364" s="1185" t="s">
        <v>2047</v>
      </c>
      <c r="BP364" s="1185"/>
      <c r="BQ364" s="1185"/>
      <c r="BR364" s="1185"/>
      <c r="BS364" s="1185"/>
      <c r="BT364" s="1185"/>
      <c r="BU364" s="1185"/>
      <c r="BW364" s="1181"/>
    </row>
    <row r="365" spans="51:75">
      <c r="AY365" s="1184"/>
      <c r="AZ365" s="1189">
        <v>614</v>
      </c>
      <c r="BA365" s="1185">
        <v>11</v>
      </c>
      <c r="BB365" s="1188">
        <v>3.4</v>
      </c>
      <c r="BC365" s="1187">
        <v>5.8</v>
      </c>
      <c r="BD365" s="1172">
        <v>3000</v>
      </c>
      <c r="BE365" s="1172">
        <v>4000</v>
      </c>
      <c r="BF365" s="1172">
        <v>5000</v>
      </c>
      <c r="BG365" s="1172">
        <v>7000</v>
      </c>
      <c r="BH365" s="1172">
        <v>8000</v>
      </c>
      <c r="BI365" s="1172">
        <v>9000</v>
      </c>
      <c r="BJ365" s="1185" t="s">
        <v>1348</v>
      </c>
      <c r="BK365" s="1185"/>
      <c r="BL365" s="1185" t="s">
        <v>1390</v>
      </c>
      <c r="BM365" s="1185"/>
      <c r="BN365" s="1186"/>
      <c r="BO365" s="1185" t="s">
        <v>2046</v>
      </c>
      <c r="BP365" s="1185"/>
      <c r="BQ365" s="1185"/>
      <c r="BR365" s="1185"/>
      <c r="BS365" s="1185"/>
      <c r="BT365" s="1185"/>
      <c r="BU365" s="1185"/>
      <c r="BW365" s="1181"/>
    </row>
    <row r="366" spans="51:75">
      <c r="AY366" s="1184"/>
      <c r="AZ366" s="1189">
        <v>615</v>
      </c>
      <c r="BA366" s="1185">
        <v>16</v>
      </c>
      <c r="BB366" s="1188">
        <v>2.41</v>
      </c>
      <c r="BC366" s="1187">
        <v>4.5999999999999996</v>
      </c>
      <c r="BD366" s="1172">
        <v>500</v>
      </c>
      <c r="BE366" s="1172">
        <v>1000</v>
      </c>
      <c r="BF366" s="1172">
        <v>1500</v>
      </c>
      <c r="BG366" s="1172">
        <v>2000</v>
      </c>
      <c r="BH366" s="1172">
        <v>2500</v>
      </c>
      <c r="BI366" s="1172">
        <v>3000</v>
      </c>
      <c r="BJ366" s="1185" t="s">
        <v>1892</v>
      </c>
      <c r="BK366" s="1185"/>
      <c r="BL366" s="1185" t="s">
        <v>1390</v>
      </c>
      <c r="BM366" s="1185"/>
      <c r="BN366" s="1186"/>
      <c r="BO366" s="1185" t="s">
        <v>2045</v>
      </c>
      <c r="BP366" s="1185"/>
      <c r="BQ366" s="1185"/>
      <c r="BR366" s="1185"/>
      <c r="BS366" s="1185"/>
      <c r="BT366" s="1185"/>
      <c r="BU366" s="1185"/>
      <c r="BW366" s="1181"/>
    </row>
    <row r="367" spans="51:75">
      <c r="AY367" s="1184"/>
      <c r="AZ367" s="1189">
        <v>616</v>
      </c>
      <c r="BA367" s="1185">
        <v>16</v>
      </c>
      <c r="BB367" s="1188">
        <v>50</v>
      </c>
      <c r="BC367" s="1187"/>
      <c r="BD367" s="1172">
        <v>500</v>
      </c>
      <c r="BE367" s="1172">
        <v>1000</v>
      </c>
      <c r="BF367" s="1172">
        <v>1500</v>
      </c>
      <c r="BG367" s="1172">
        <v>2000</v>
      </c>
      <c r="BH367" s="1172">
        <v>2500</v>
      </c>
      <c r="BI367" s="1172">
        <v>3000</v>
      </c>
      <c r="BJ367" s="1185" t="s">
        <v>1892</v>
      </c>
      <c r="BK367" s="1185"/>
      <c r="BL367" s="1185" t="s">
        <v>1390</v>
      </c>
      <c r="BM367" s="1185"/>
      <c r="BN367" s="1186"/>
      <c r="BO367" s="1185" t="s">
        <v>2044</v>
      </c>
      <c r="BP367" s="1185"/>
      <c r="BQ367" s="1185"/>
      <c r="BR367" s="1185"/>
      <c r="BS367" s="1185"/>
      <c r="BT367" s="1185"/>
      <c r="BU367" s="1185"/>
      <c r="BW367" s="1181"/>
    </row>
    <row r="368" spans="51:75">
      <c r="AY368" s="1184"/>
      <c r="AZ368" s="1189">
        <v>617</v>
      </c>
      <c r="BA368" s="1185">
        <v>16</v>
      </c>
      <c r="BB368" s="1188">
        <v>9.73</v>
      </c>
      <c r="BC368" s="1187">
        <v>6.1</v>
      </c>
      <c r="BD368" s="1172">
        <v>500</v>
      </c>
      <c r="BE368" s="1172">
        <v>1000</v>
      </c>
      <c r="BF368" s="1172">
        <v>1500</v>
      </c>
      <c r="BG368" s="1172">
        <v>2000</v>
      </c>
      <c r="BH368" s="1172">
        <v>2500</v>
      </c>
      <c r="BI368" s="1172">
        <v>3000</v>
      </c>
      <c r="BJ368" s="1185" t="s">
        <v>1892</v>
      </c>
      <c r="BK368" s="1185"/>
      <c r="BL368" s="1185" t="s">
        <v>1390</v>
      </c>
      <c r="BM368" s="1185"/>
      <c r="BN368" s="1186"/>
      <c r="BO368" s="1185" t="s">
        <v>2043</v>
      </c>
      <c r="BP368" s="1185"/>
      <c r="BQ368" s="1185"/>
      <c r="BR368" s="1185"/>
      <c r="BS368" s="1185"/>
      <c r="BT368" s="1185"/>
      <c r="BU368" s="1185"/>
      <c r="BW368" s="1181"/>
    </row>
    <row r="369" spans="51:75">
      <c r="AY369" s="1184"/>
      <c r="AZ369" s="1189">
        <v>619</v>
      </c>
      <c r="BA369" s="1185">
        <v>11</v>
      </c>
      <c r="BB369" s="1188">
        <v>11.17</v>
      </c>
      <c r="BC369" s="1187">
        <v>6.7</v>
      </c>
      <c r="BD369" s="1172">
        <v>3000</v>
      </c>
      <c r="BE369" s="1172">
        <v>4000</v>
      </c>
      <c r="BF369" s="1172">
        <v>5000</v>
      </c>
      <c r="BG369" s="1172">
        <v>7000</v>
      </c>
      <c r="BH369" s="1172">
        <v>8000</v>
      </c>
      <c r="BI369" s="1172">
        <v>9000</v>
      </c>
      <c r="BJ369" s="1185" t="s">
        <v>1348</v>
      </c>
      <c r="BK369" s="1185"/>
      <c r="BL369" s="1185" t="s">
        <v>1390</v>
      </c>
      <c r="BM369" s="1185"/>
      <c r="BN369" s="1186">
        <v>0.5</v>
      </c>
      <c r="BO369" s="1185" t="s">
        <v>2042</v>
      </c>
      <c r="BP369" s="1185"/>
      <c r="BQ369" s="1185"/>
      <c r="BR369" s="1185"/>
      <c r="BS369" s="1185"/>
      <c r="BT369" s="1185"/>
      <c r="BU369" s="1185"/>
      <c r="BW369" s="1181"/>
    </row>
    <row r="370" spans="51:75">
      <c r="AY370" s="1184"/>
      <c r="AZ370" s="1189">
        <v>621</v>
      </c>
      <c r="BA370" s="1185">
        <v>11</v>
      </c>
      <c r="BB370" s="1188">
        <v>5.5</v>
      </c>
      <c r="BC370" s="1187">
        <v>5.5</v>
      </c>
      <c r="BD370" s="1172">
        <v>3000</v>
      </c>
      <c r="BE370" s="1172">
        <v>4000</v>
      </c>
      <c r="BF370" s="1172">
        <v>5000</v>
      </c>
      <c r="BG370" s="1172">
        <v>7000</v>
      </c>
      <c r="BH370" s="1172">
        <v>8000</v>
      </c>
      <c r="BI370" s="1172">
        <v>9000</v>
      </c>
      <c r="BJ370" s="1185" t="s">
        <v>1348</v>
      </c>
      <c r="BK370" s="1185"/>
      <c r="BL370" s="1185" t="s">
        <v>1390</v>
      </c>
      <c r="BM370" s="1185"/>
      <c r="BN370" s="1186"/>
      <c r="BO370" s="1185" t="s">
        <v>2041</v>
      </c>
      <c r="BP370" s="1185"/>
      <c r="BQ370" s="1185"/>
      <c r="BR370" s="1185"/>
      <c r="BS370" s="1185"/>
      <c r="BT370" s="1185"/>
      <c r="BU370" s="1185"/>
      <c r="BW370" s="1181"/>
    </row>
    <row r="371" spans="51:75">
      <c r="AY371" s="1184"/>
      <c r="AZ371" s="1189">
        <v>622</v>
      </c>
      <c r="BA371" s="1185">
        <v>11</v>
      </c>
      <c r="BB371" s="1188">
        <v>14.17</v>
      </c>
      <c r="BC371" s="1187">
        <v>5.2</v>
      </c>
      <c r="BD371" s="1172">
        <v>3000</v>
      </c>
      <c r="BE371" s="1172">
        <v>4000</v>
      </c>
      <c r="BF371" s="1172">
        <v>5000</v>
      </c>
      <c r="BG371" s="1172">
        <v>7000</v>
      </c>
      <c r="BH371" s="1172">
        <v>8000</v>
      </c>
      <c r="BI371" s="1172">
        <v>9000</v>
      </c>
      <c r="BJ371" s="1185" t="s">
        <v>1348</v>
      </c>
      <c r="BK371" s="1185"/>
      <c r="BL371" s="1185" t="s">
        <v>1390</v>
      </c>
      <c r="BM371" s="1185"/>
      <c r="BN371" s="1186"/>
      <c r="BO371" s="1185" t="s">
        <v>2040</v>
      </c>
      <c r="BP371" s="1185"/>
      <c r="BQ371" s="1185"/>
      <c r="BR371" s="1185"/>
      <c r="BS371" s="1185"/>
      <c r="BT371" s="1185"/>
      <c r="BU371" s="1185"/>
      <c r="BW371" s="1181"/>
    </row>
    <row r="372" spans="51:75">
      <c r="AY372" s="1184"/>
      <c r="AZ372" s="1189">
        <v>623</v>
      </c>
      <c r="BA372" s="1185">
        <v>9</v>
      </c>
      <c r="BB372" s="1188">
        <v>61.54</v>
      </c>
      <c r="BC372" s="1187">
        <v>4.9000000000000004</v>
      </c>
      <c r="BD372" s="1172">
        <v>3000</v>
      </c>
      <c r="BE372" s="1172">
        <v>5000</v>
      </c>
      <c r="BF372" s="1172">
        <v>7000</v>
      </c>
      <c r="BG372" s="1172">
        <v>7500</v>
      </c>
      <c r="BH372" s="1172">
        <v>10500</v>
      </c>
      <c r="BI372" s="1172">
        <v>14000</v>
      </c>
      <c r="BJ372" s="1185" t="s">
        <v>1348</v>
      </c>
      <c r="BK372" s="1185"/>
      <c r="BL372" s="1185" t="s">
        <v>1390</v>
      </c>
      <c r="BM372" s="1185"/>
      <c r="BN372" s="1186"/>
      <c r="BO372" s="1185" t="s">
        <v>2039</v>
      </c>
      <c r="BP372" s="1185"/>
      <c r="BQ372" s="1185"/>
      <c r="BR372" s="1185"/>
      <c r="BS372" s="1185"/>
      <c r="BT372" s="1185"/>
      <c r="BU372" s="1185"/>
      <c r="BW372" s="1181"/>
    </row>
    <row r="373" spans="51:75">
      <c r="AY373" s="1184"/>
      <c r="AZ373" s="1189">
        <v>624</v>
      </c>
      <c r="BA373" s="1185">
        <v>11</v>
      </c>
      <c r="BB373" s="1188">
        <v>6.36</v>
      </c>
      <c r="BC373" s="1187">
        <v>5.2</v>
      </c>
      <c r="BD373" s="1172">
        <v>3000</v>
      </c>
      <c r="BE373" s="1172">
        <v>4000</v>
      </c>
      <c r="BF373" s="1172">
        <v>5000</v>
      </c>
      <c r="BG373" s="1172">
        <v>7000</v>
      </c>
      <c r="BH373" s="1172">
        <v>8000</v>
      </c>
      <c r="BI373" s="1172">
        <v>9000</v>
      </c>
      <c r="BJ373" s="1185" t="s">
        <v>1348</v>
      </c>
      <c r="BK373" s="1185"/>
      <c r="BL373" s="1185" t="s">
        <v>1390</v>
      </c>
      <c r="BM373" s="1185"/>
      <c r="BN373" s="1186"/>
      <c r="BO373" s="1185" t="s">
        <v>2038</v>
      </c>
      <c r="BP373" s="1185"/>
      <c r="BQ373" s="1185"/>
      <c r="BR373" s="1185"/>
      <c r="BS373" s="1185"/>
      <c r="BT373" s="1185"/>
      <c r="BU373" s="1185"/>
      <c r="BW373" s="1181"/>
    </row>
    <row r="374" spans="51:75">
      <c r="AY374" s="1184"/>
      <c r="AZ374" s="1189">
        <v>625</v>
      </c>
      <c r="BA374" s="1185">
        <v>11</v>
      </c>
      <c r="BB374" s="1188">
        <v>9.9</v>
      </c>
      <c r="BC374" s="1187">
        <v>5.8</v>
      </c>
      <c r="BD374" s="1172">
        <v>3000</v>
      </c>
      <c r="BE374" s="1172">
        <v>4000</v>
      </c>
      <c r="BF374" s="1172">
        <v>5000</v>
      </c>
      <c r="BG374" s="1172">
        <v>7000</v>
      </c>
      <c r="BH374" s="1172">
        <v>8000</v>
      </c>
      <c r="BI374" s="1172">
        <v>9000</v>
      </c>
      <c r="BJ374" s="1185" t="s">
        <v>1348</v>
      </c>
      <c r="BK374" s="1185"/>
      <c r="BL374" s="1185" t="s">
        <v>1387</v>
      </c>
      <c r="BM374" s="1185"/>
      <c r="BN374" s="1186"/>
      <c r="BO374" s="1185" t="s">
        <v>2037</v>
      </c>
      <c r="BP374" s="1185"/>
      <c r="BQ374" s="1185"/>
      <c r="BR374" s="1185"/>
      <c r="BS374" s="1185"/>
      <c r="BT374" s="1185"/>
      <c r="BU374" s="1185"/>
      <c r="BW374" s="1181"/>
    </row>
    <row r="375" spans="51:75">
      <c r="AY375" s="1184"/>
      <c r="AZ375" s="1189">
        <v>626</v>
      </c>
      <c r="BA375" s="1185">
        <v>16</v>
      </c>
      <c r="BB375" s="1188">
        <v>1.78</v>
      </c>
      <c r="BC375" s="1187">
        <v>6.4</v>
      </c>
      <c r="BD375" s="1172">
        <v>500</v>
      </c>
      <c r="BE375" s="1172">
        <v>1000</v>
      </c>
      <c r="BF375" s="1172">
        <v>1500</v>
      </c>
      <c r="BG375" s="1172">
        <v>2000</v>
      </c>
      <c r="BH375" s="1172">
        <v>2500</v>
      </c>
      <c r="BI375" s="1172">
        <v>3000</v>
      </c>
      <c r="BJ375" s="1185" t="s">
        <v>1892</v>
      </c>
      <c r="BK375" s="1185"/>
      <c r="BL375" s="1185" t="s">
        <v>1390</v>
      </c>
      <c r="BM375" s="1185"/>
      <c r="BN375" s="1186">
        <v>0.45</v>
      </c>
      <c r="BO375" s="1185" t="s">
        <v>2036</v>
      </c>
      <c r="BP375" s="1185"/>
      <c r="BQ375" s="1185"/>
      <c r="BR375" s="1185"/>
      <c r="BS375" s="1185"/>
      <c r="BT375" s="1185"/>
      <c r="BU375" s="1185"/>
      <c r="BW375" s="1181"/>
    </row>
    <row r="376" spans="51:75">
      <c r="AY376" s="1184"/>
      <c r="AZ376" s="1189">
        <v>627</v>
      </c>
      <c r="BA376" s="1185">
        <v>16</v>
      </c>
      <c r="BB376" s="1188">
        <v>50</v>
      </c>
      <c r="BC376" s="1187"/>
      <c r="BD376" s="1172">
        <v>500</v>
      </c>
      <c r="BE376" s="1172">
        <v>1000</v>
      </c>
      <c r="BF376" s="1172">
        <v>1500</v>
      </c>
      <c r="BG376" s="1172">
        <v>2000</v>
      </c>
      <c r="BH376" s="1172">
        <v>2500</v>
      </c>
      <c r="BI376" s="1172">
        <v>3000</v>
      </c>
      <c r="BJ376" s="1185" t="s">
        <v>1892</v>
      </c>
      <c r="BK376" s="1185"/>
      <c r="BL376" s="1185" t="s">
        <v>1390</v>
      </c>
      <c r="BM376" s="1185"/>
      <c r="BN376" s="1186">
        <v>0.35</v>
      </c>
      <c r="BO376" s="1185" t="s">
        <v>2035</v>
      </c>
      <c r="BP376" s="1185"/>
      <c r="BQ376" s="1185"/>
      <c r="BR376" s="1185"/>
      <c r="BS376" s="1185"/>
      <c r="BT376" s="1185"/>
      <c r="BU376" s="1185"/>
      <c r="BW376" s="1181"/>
    </row>
    <row r="377" spans="51:75">
      <c r="AY377" s="1184"/>
      <c r="AZ377" s="1189">
        <v>628</v>
      </c>
      <c r="BA377" s="1185">
        <v>9</v>
      </c>
      <c r="BB377" s="1188">
        <v>16.260000000000002</v>
      </c>
      <c r="BC377" s="1187">
        <v>6.7</v>
      </c>
      <c r="BD377" s="1172">
        <v>3000</v>
      </c>
      <c r="BE377" s="1172">
        <v>5000</v>
      </c>
      <c r="BF377" s="1172">
        <v>7000</v>
      </c>
      <c r="BG377" s="1172">
        <v>7500</v>
      </c>
      <c r="BH377" s="1172">
        <v>10500</v>
      </c>
      <c r="BI377" s="1172">
        <v>14000</v>
      </c>
      <c r="BJ377" s="1185" t="s">
        <v>1894</v>
      </c>
      <c r="BK377" s="1185"/>
      <c r="BL377" s="1185" t="s">
        <v>1390</v>
      </c>
      <c r="BM377" s="1185"/>
      <c r="BN377" s="1186"/>
      <c r="BO377" s="1185" t="s">
        <v>2034</v>
      </c>
      <c r="BP377" s="1185"/>
      <c r="BQ377" s="1185"/>
      <c r="BR377" s="1185"/>
      <c r="BS377" s="1185"/>
      <c r="BT377" s="1185"/>
      <c r="BU377" s="1185"/>
      <c r="BW377" s="1181"/>
    </row>
    <row r="378" spans="51:75">
      <c r="AY378" s="1184"/>
      <c r="AZ378" s="1189">
        <v>629</v>
      </c>
      <c r="BA378" s="1185">
        <v>9</v>
      </c>
      <c r="BB378" s="1188">
        <v>5.75</v>
      </c>
      <c r="BC378" s="1187">
        <v>5.6</v>
      </c>
      <c r="BD378" s="1172">
        <v>3000</v>
      </c>
      <c r="BE378" s="1172">
        <v>5000</v>
      </c>
      <c r="BF378" s="1172">
        <v>7000</v>
      </c>
      <c r="BG378" s="1172">
        <v>7500</v>
      </c>
      <c r="BH378" s="1172">
        <v>10500</v>
      </c>
      <c r="BI378" s="1172">
        <v>14000</v>
      </c>
      <c r="BJ378" s="1185" t="s">
        <v>1894</v>
      </c>
      <c r="BK378" s="1185"/>
      <c r="BL378" s="1185" t="s">
        <v>1390</v>
      </c>
      <c r="BM378" s="1185"/>
      <c r="BN378" s="1186"/>
      <c r="BO378" s="1185" t="s">
        <v>2033</v>
      </c>
      <c r="BP378" s="1185"/>
      <c r="BQ378" s="1185"/>
      <c r="BR378" s="1185"/>
      <c r="BS378" s="1185"/>
      <c r="BT378" s="1185"/>
      <c r="BU378" s="1185"/>
      <c r="BW378" s="1181"/>
    </row>
    <row r="379" spans="51:75">
      <c r="AY379" s="1184"/>
      <c r="AZ379" s="1189">
        <v>630</v>
      </c>
      <c r="BA379" s="1185">
        <v>16</v>
      </c>
      <c r="BB379" s="1188">
        <v>4.67</v>
      </c>
      <c r="BC379" s="1187">
        <v>6.7</v>
      </c>
      <c r="BD379" s="1172">
        <v>500</v>
      </c>
      <c r="BE379" s="1172">
        <v>1000</v>
      </c>
      <c r="BF379" s="1172">
        <v>1500</v>
      </c>
      <c r="BG379" s="1172">
        <v>2000</v>
      </c>
      <c r="BH379" s="1172">
        <v>2500</v>
      </c>
      <c r="BI379" s="1172">
        <v>3000</v>
      </c>
      <c r="BJ379" s="1185" t="s">
        <v>1348</v>
      </c>
      <c r="BK379" s="1185"/>
      <c r="BL379" s="1185" t="s">
        <v>1333</v>
      </c>
      <c r="BM379" s="1185"/>
      <c r="BN379" s="1186"/>
      <c r="BO379" s="1185" t="s">
        <v>2032</v>
      </c>
      <c r="BP379" s="1185"/>
      <c r="BQ379" s="1185"/>
      <c r="BR379" s="1185"/>
      <c r="BS379" s="1185"/>
      <c r="BT379" s="1185"/>
      <c r="BU379" s="1185"/>
      <c r="BW379" s="1181"/>
    </row>
    <row r="380" spans="51:75">
      <c r="AY380" s="1184"/>
      <c r="AZ380" s="1189">
        <v>631</v>
      </c>
      <c r="BA380" s="1172">
        <v>13</v>
      </c>
      <c r="BB380" s="1188">
        <v>3.14</v>
      </c>
      <c r="BC380" s="1187">
        <v>6.3</v>
      </c>
      <c r="BD380" s="1172">
        <v>4000</v>
      </c>
      <c r="BE380" s="1172">
        <v>6000</v>
      </c>
      <c r="BF380" s="1172">
        <v>8000</v>
      </c>
      <c r="BG380" s="1172">
        <v>9000</v>
      </c>
      <c r="BH380" s="1172">
        <v>12000</v>
      </c>
      <c r="BI380" s="1172">
        <v>15000</v>
      </c>
      <c r="BJ380" s="1185" t="s">
        <v>1348</v>
      </c>
      <c r="BK380" s="1185"/>
      <c r="BL380" s="1185" t="s">
        <v>1333</v>
      </c>
      <c r="BM380" s="1185"/>
      <c r="BN380" s="1186"/>
      <c r="BO380" s="1185" t="s">
        <v>2031</v>
      </c>
      <c r="BP380" s="1185"/>
      <c r="BQ380" s="1185"/>
      <c r="BR380" s="1185"/>
      <c r="BS380" s="1185"/>
      <c r="BT380" s="1185"/>
      <c r="BU380" s="1185"/>
      <c r="BW380" s="1181"/>
    </row>
    <row r="381" spans="51:75">
      <c r="AY381" s="1184"/>
      <c r="AZ381" s="1189">
        <v>632</v>
      </c>
      <c r="BA381" s="1172">
        <v>13</v>
      </c>
      <c r="BB381" s="1188">
        <v>3.14</v>
      </c>
      <c r="BC381" s="1187">
        <v>6.3</v>
      </c>
      <c r="BD381" s="1172">
        <v>4000</v>
      </c>
      <c r="BE381" s="1172">
        <v>6000</v>
      </c>
      <c r="BF381" s="1172">
        <v>8000</v>
      </c>
      <c r="BG381" s="1172">
        <v>9000</v>
      </c>
      <c r="BH381" s="1172">
        <v>12000</v>
      </c>
      <c r="BI381" s="1172">
        <v>15000</v>
      </c>
      <c r="BJ381" s="1185" t="s">
        <v>1348</v>
      </c>
      <c r="BK381" s="1185"/>
      <c r="BL381" s="1185" t="s">
        <v>1333</v>
      </c>
      <c r="BM381" s="1185"/>
      <c r="BN381" s="1186"/>
      <c r="BO381" s="1185" t="s">
        <v>2030</v>
      </c>
      <c r="BP381" s="1185"/>
      <c r="BQ381" s="1185"/>
      <c r="BR381" s="1185"/>
      <c r="BS381" s="1185"/>
      <c r="BT381" s="1185"/>
      <c r="BU381" s="1185"/>
      <c r="BW381" s="1181"/>
    </row>
    <row r="382" spans="51:75">
      <c r="AY382" s="1184"/>
      <c r="AZ382" s="1189">
        <v>634</v>
      </c>
      <c r="BA382" s="1172">
        <v>13</v>
      </c>
      <c r="BB382" s="1188">
        <v>5.73</v>
      </c>
      <c r="BC382" s="1187">
        <v>6.4</v>
      </c>
      <c r="BD382" s="1172">
        <v>4000</v>
      </c>
      <c r="BE382" s="1172">
        <v>6000</v>
      </c>
      <c r="BF382" s="1172">
        <v>8000</v>
      </c>
      <c r="BG382" s="1172">
        <v>9000</v>
      </c>
      <c r="BH382" s="1172">
        <v>12000</v>
      </c>
      <c r="BI382" s="1172">
        <v>15000</v>
      </c>
      <c r="BJ382" s="1185" t="s">
        <v>1348</v>
      </c>
      <c r="BK382" s="1185"/>
      <c r="BL382" s="1185" t="s">
        <v>1333</v>
      </c>
      <c r="BM382" s="1185"/>
      <c r="BN382" s="1186"/>
      <c r="BO382" s="1185" t="s">
        <v>2029</v>
      </c>
      <c r="BP382" s="1185"/>
      <c r="BQ382" s="1185"/>
      <c r="BR382" s="1185"/>
      <c r="BS382" s="1185"/>
      <c r="BT382" s="1185"/>
      <c r="BU382" s="1185"/>
      <c r="BW382" s="1181"/>
    </row>
    <row r="383" spans="51:75">
      <c r="AY383" s="1184"/>
      <c r="AZ383" s="1189">
        <v>636</v>
      </c>
      <c r="BA383" s="1172">
        <v>13</v>
      </c>
      <c r="BB383" s="1188">
        <v>4.67</v>
      </c>
      <c r="BC383" s="1187">
        <v>6.7</v>
      </c>
      <c r="BD383" s="1172">
        <v>4000</v>
      </c>
      <c r="BE383" s="1172">
        <v>6000</v>
      </c>
      <c r="BF383" s="1172">
        <v>8000</v>
      </c>
      <c r="BG383" s="1172">
        <v>9000</v>
      </c>
      <c r="BH383" s="1172">
        <v>12000</v>
      </c>
      <c r="BI383" s="1172">
        <v>15000</v>
      </c>
      <c r="BJ383" s="1185" t="s">
        <v>1348</v>
      </c>
      <c r="BK383" s="1185"/>
      <c r="BL383" s="1185" t="s">
        <v>1333</v>
      </c>
      <c r="BM383" s="1185"/>
      <c r="BN383" s="1186">
        <v>0.4</v>
      </c>
      <c r="BO383" s="1185" t="s">
        <v>2028</v>
      </c>
      <c r="BP383" s="1185"/>
      <c r="BQ383" s="1185"/>
      <c r="BR383" s="1185"/>
      <c r="BS383" s="1185"/>
      <c r="BT383" s="1185"/>
      <c r="BU383" s="1185"/>
      <c r="BW383" s="1181"/>
    </row>
    <row r="384" spans="51:75">
      <c r="AY384" s="1184"/>
      <c r="AZ384" s="1189">
        <v>637</v>
      </c>
      <c r="BA384" s="1185">
        <v>9</v>
      </c>
      <c r="BB384" s="1188">
        <v>16.260000000000002</v>
      </c>
      <c r="BC384" s="1187">
        <v>6.7</v>
      </c>
      <c r="BD384" s="1172">
        <v>3000</v>
      </c>
      <c r="BE384" s="1172">
        <v>5000</v>
      </c>
      <c r="BF384" s="1172">
        <v>7000</v>
      </c>
      <c r="BG384" s="1172">
        <v>7500</v>
      </c>
      <c r="BH384" s="1172">
        <v>10500</v>
      </c>
      <c r="BI384" s="1172">
        <v>14000</v>
      </c>
      <c r="BJ384" s="1185" t="s">
        <v>1894</v>
      </c>
      <c r="BK384" s="1185"/>
      <c r="BL384" s="1185" t="s">
        <v>1390</v>
      </c>
      <c r="BM384" s="1185"/>
      <c r="BN384" s="1186"/>
      <c r="BO384" s="1185" t="s">
        <v>2027</v>
      </c>
      <c r="BP384" s="1185"/>
      <c r="BQ384" s="1185"/>
      <c r="BR384" s="1185"/>
      <c r="BS384" s="1185"/>
      <c r="BT384" s="1185"/>
      <c r="BU384" s="1185"/>
      <c r="BW384" s="1181"/>
    </row>
    <row r="385" spans="51:75">
      <c r="AY385" s="1184"/>
      <c r="AZ385" s="1189">
        <v>638</v>
      </c>
      <c r="BA385" s="1185">
        <v>9</v>
      </c>
      <c r="BB385" s="1188">
        <v>5.75</v>
      </c>
      <c r="BC385" s="1187">
        <v>5.6</v>
      </c>
      <c r="BD385" s="1172">
        <v>3000</v>
      </c>
      <c r="BE385" s="1172">
        <v>5000</v>
      </c>
      <c r="BF385" s="1172">
        <v>7000</v>
      </c>
      <c r="BG385" s="1172">
        <v>7500</v>
      </c>
      <c r="BH385" s="1172">
        <v>10500</v>
      </c>
      <c r="BI385" s="1172">
        <v>14000</v>
      </c>
      <c r="BJ385" s="1185" t="s">
        <v>1894</v>
      </c>
      <c r="BK385" s="1185"/>
      <c r="BL385" s="1185" t="s">
        <v>1390</v>
      </c>
      <c r="BM385" s="1185"/>
      <c r="BN385" s="1186"/>
      <c r="BO385" s="1185" t="s">
        <v>2026</v>
      </c>
      <c r="BP385" s="1185"/>
      <c r="BQ385" s="1185"/>
      <c r="BR385" s="1185"/>
      <c r="BS385" s="1185"/>
      <c r="BT385" s="1185"/>
      <c r="BU385" s="1185"/>
      <c r="BW385" s="1181"/>
    </row>
    <row r="386" spans="51:75">
      <c r="AY386" s="1184"/>
      <c r="AZ386" s="1189">
        <v>639</v>
      </c>
      <c r="BA386" s="1185">
        <v>9</v>
      </c>
      <c r="BB386" s="1188">
        <v>60</v>
      </c>
      <c r="BC386" s="1187">
        <v>5.3</v>
      </c>
      <c r="BD386" s="1172">
        <v>3000</v>
      </c>
      <c r="BE386" s="1172">
        <v>5000</v>
      </c>
      <c r="BF386" s="1172">
        <v>7000</v>
      </c>
      <c r="BG386" s="1172">
        <v>7500</v>
      </c>
      <c r="BH386" s="1172">
        <v>10500</v>
      </c>
      <c r="BI386" s="1172">
        <v>14000</v>
      </c>
      <c r="BJ386" s="1185" t="s">
        <v>1894</v>
      </c>
      <c r="BK386" s="1185"/>
      <c r="BL386" s="1185" t="s">
        <v>1390</v>
      </c>
      <c r="BM386" s="1185"/>
      <c r="BN386" s="1186"/>
      <c r="BO386" s="1185" t="s">
        <v>2025</v>
      </c>
      <c r="BP386" s="1185"/>
      <c r="BQ386" s="1185"/>
      <c r="BR386" s="1185"/>
      <c r="BS386" s="1185"/>
      <c r="BT386" s="1185"/>
      <c r="BU386" s="1185"/>
      <c r="BW386" s="1181"/>
    </row>
    <row r="387" spans="51:75">
      <c r="AY387" s="1184"/>
      <c r="AZ387" s="1189">
        <v>640</v>
      </c>
      <c r="BA387" s="1185">
        <v>9</v>
      </c>
      <c r="BB387" s="1188">
        <v>37.5</v>
      </c>
      <c r="BC387" s="1187">
        <v>4.8</v>
      </c>
      <c r="BD387" s="1172">
        <v>3000</v>
      </c>
      <c r="BE387" s="1172">
        <v>5000</v>
      </c>
      <c r="BF387" s="1172">
        <v>7000</v>
      </c>
      <c r="BG387" s="1172">
        <v>7500</v>
      </c>
      <c r="BH387" s="1172">
        <v>10500</v>
      </c>
      <c r="BI387" s="1172">
        <v>14000</v>
      </c>
      <c r="BJ387" s="1185" t="s">
        <v>1894</v>
      </c>
      <c r="BK387" s="1185"/>
      <c r="BL387" s="1185" t="s">
        <v>1333</v>
      </c>
      <c r="BM387" s="1185"/>
      <c r="BN387" s="1186"/>
      <c r="BO387" s="1185" t="s">
        <v>2024</v>
      </c>
      <c r="BP387" s="1185"/>
      <c r="BQ387" s="1185"/>
      <c r="BR387" s="1185"/>
      <c r="BS387" s="1185"/>
      <c r="BT387" s="1185"/>
      <c r="BU387" s="1185"/>
      <c r="BW387" s="1181"/>
    </row>
    <row r="388" spans="51:75">
      <c r="AY388" s="1184"/>
      <c r="AZ388" s="1189">
        <v>641</v>
      </c>
      <c r="BA388" s="1185">
        <v>16</v>
      </c>
      <c r="BB388" s="1188">
        <v>8.0399999999999991</v>
      </c>
      <c r="BC388" s="1187">
        <v>4.5</v>
      </c>
      <c r="BD388" s="1172">
        <v>500</v>
      </c>
      <c r="BE388" s="1172">
        <v>1000</v>
      </c>
      <c r="BF388" s="1172">
        <v>1500</v>
      </c>
      <c r="BG388" s="1172">
        <v>2000</v>
      </c>
      <c r="BH388" s="1172">
        <v>2500</v>
      </c>
      <c r="BI388" s="1172">
        <v>3000</v>
      </c>
      <c r="BJ388" s="1185" t="s">
        <v>1892</v>
      </c>
      <c r="BK388" s="1185"/>
      <c r="BL388" s="1185" t="s">
        <v>1390</v>
      </c>
      <c r="BM388" s="1185"/>
      <c r="BN388" s="1186"/>
      <c r="BO388" s="1185" t="s">
        <v>2023</v>
      </c>
      <c r="BP388" s="1185"/>
      <c r="BQ388" s="1185"/>
      <c r="BR388" s="1185"/>
      <c r="BS388" s="1185"/>
      <c r="BT388" s="1185"/>
      <c r="BU388" s="1185"/>
      <c r="BW388" s="1181"/>
    </row>
    <row r="389" spans="51:75">
      <c r="AY389" s="1184"/>
      <c r="AZ389" s="1189">
        <v>651</v>
      </c>
      <c r="BA389" s="1185">
        <v>9</v>
      </c>
      <c r="BB389" s="1188"/>
      <c r="BC389" s="1187"/>
      <c r="BD389" s="1172">
        <v>3000</v>
      </c>
      <c r="BE389" s="1172">
        <v>5000</v>
      </c>
      <c r="BF389" s="1172">
        <v>7000</v>
      </c>
      <c r="BG389" s="1172">
        <v>7500</v>
      </c>
      <c r="BH389" s="1172">
        <v>10500</v>
      </c>
      <c r="BI389" s="1172">
        <v>14000</v>
      </c>
      <c r="BJ389" s="1185" t="s">
        <v>1894</v>
      </c>
      <c r="BK389" s="1185"/>
      <c r="BL389" s="1185" t="s">
        <v>2022</v>
      </c>
      <c r="BM389" s="1185"/>
      <c r="BN389" s="1186"/>
      <c r="BO389" s="1185" t="s">
        <v>2021</v>
      </c>
      <c r="BP389" s="1185"/>
      <c r="BQ389" s="1185"/>
      <c r="BR389" s="1185"/>
      <c r="BS389" s="1185"/>
      <c r="BT389" s="1185"/>
      <c r="BU389" s="1185"/>
      <c r="BW389" s="1181"/>
    </row>
    <row r="390" spans="51:75">
      <c r="AY390" s="1184"/>
      <c r="AZ390" s="1189">
        <v>652</v>
      </c>
      <c r="BA390" s="1185">
        <v>11</v>
      </c>
      <c r="BB390" s="1188">
        <v>3.55</v>
      </c>
      <c r="BC390" s="1187">
        <v>5.7</v>
      </c>
      <c r="BD390" s="1172">
        <v>3000</v>
      </c>
      <c r="BE390" s="1172">
        <v>4000</v>
      </c>
      <c r="BF390" s="1172">
        <v>5000</v>
      </c>
      <c r="BG390" s="1172">
        <v>7000</v>
      </c>
      <c r="BH390" s="1172">
        <v>8000</v>
      </c>
      <c r="BI390" s="1172">
        <v>9000</v>
      </c>
      <c r="BJ390" s="1185" t="s">
        <v>1348</v>
      </c>
      <c r="BK390" s="1185"/>
      <c r="BL390" s="1185" t="s">
        <v>1390</v>
      </c>
      <c r="BM390" s="1185"/>
      <c r="BN390" s="1186"/>
      <c r="BO390" s="1185" t="s">
        <v>2020</v>
      </c>
      <c r="BP390" s="1185"/>
      <c r="BQ390" s="1185"/>
      <c r="BR390" s="1185"/>
      <c r="BS390" s="1185"/>
      <c r="BT390" s="1185"/>
      <c r="BU390" s="1185"/>
      <c r="BW390" s="1181"/>
    </row>
    <row r="391" spans="51:75">
      <c r="AY391" s="1184"/>
      <c r="AZ391" s="1189">
        <v>653</v>
      </c>
      <c r="BA391" s="1185">
        <v>9</v>
      </c>
      <c r="BB391" s="1188">
        <v>60</v>
      </c>
      <c r="BC391" s="1187">
        <v>5.3</v>
      </c>
      <c r="BD391" s="1172">
        <v>3000</v>
      </c>
      <c r="BE391" s="1172">
        <v>5000</v>
      </c>
      <c r="BF391" s="1172">
        <v>7000</v>
      </c>
      <c r="BG391" s="1172">
        <v>7500</v>
      </c>
      <c r="BH391" s="1172">
        <v>10500</v>
      </c>
      <c r="BI391" s="1172">
        <v>14000</v>
      </c>
      <c r="BJ391" s="1185" t="s">
        <v>1894</v>
      </c>
      <c r="BK391" s="1185"/>
      <c r="BL391" s="1185" t="s">
        <v>1390</v>
      </c>
      <c r="BM391" s="1185"/>
      <c r="BN391" s="1186"/>
      <c r="BO391" s="1185" t="s">
        <v>2019</v>
      </c>
      <c r="BP391" s="1185"/>
      <c r="BQ391" s="1185"/>
      <c r="BR391" s="1185"/>
      <c r="BS391" s="1185"/>
      <c r="BT391" s="1185"/>
      <c r="BU391" s="1185"/>
      <c r="BW391" s="1181"/>
    </row>
    <row r="392" spans="51:75">
      <c r="AY392" s="1184"/>
      <c r="AZ392" s="1189">
        <v>655</v>
      </c>
      <c r="BA392" s="1185">
        <v>9</v>
      </c>
      <c r="BB392" s="1188">
        <v>6.15</v>
      </c>
      <c r="BC392" s="1187">
        <v>5.6</v>
      </c>
      <c r="BD392" s="1172">
        <v>3000</v>
      </c>
      <c r="BE392" s="1172">
        <v>5000</v>
      </c>
      <c r="BF392" s="1172">
        <v>7000</v>
      </c>
      <c r="BG392" s="1172">
        <v>7500</v>
      </c>
      <c r="BH392" s="1172">
        <v>10500</v>
      </c>
      <c r="BI392" s="1172">
        <v>14000</v>
      </c>
      <c r="BJ392" s="1185" t="s">
        <v>1894</v>
      </c>
      <c r="BK392" s="1185"/>
      <c r="BL392" s="1185" t="s">
        <v>1390</v>
      </c>
      <c r="BM392" s="1185"/>
      <c r="BN392" s="1186"/>
      <c r="BO392" s="1185" t="s">
        <v>2018</v>
      </c>
      <c r="BP392" s="1185"/>
      <c r="BQ392" s="1185"/>
      <c r="BR392" s="1185"/>
      <c r="BS392" s="1185"/>
      <c r="BT392" s="1185"/>
      <c r="BU392" s="1185"/>
      <c r="BW392" s="1181"/>
    </row>
    <row r="393" spans="51:75">
      <c r="AY393" s="1184"/>
      <c r="AZ393" s="1189">
        <v>657</v>
      </c>
      <c r="BA393" s="1185">
        <v>9</v>
      </c>
      <c r="BB393" s="1188">
        <v>12.83</v>
      </c>
      <c r="BC393" s="1187">
        <v>6.9</v>
      </c>
      <c r="BD393" s="1172">
        <v>3000</v>
      </c>
      <c r="BE393" s="1172">
        <v>5000</v>
      </c>
      <c r="BF393" s="1172">
        <v>7000</v>
      </c>
      <c r="BG393" s="1172">
        <v>7500</v>
      </c>
      <c r="BH393" s="1172">
        <v>10500</v>
      </c>
      <c r="BI393" s="1172">
        <v>14000</v>
      </c>
      <c r="BJ393" s="1185" t="s">
        <v>1894</v>
      </c>
      <c r="BK393" s="1185"/>
      <c r="BL393" s="1185" t="s">
        <v>1390</v>
      </c>
      <c r="BM393" s="1185"/>
      <c r="BN393" s="1186">
        <v>0.4</v>
      </c>
      <c r="BO393" s="1185" t="s">
        <v>2017</v>
      </c>
      <c r="BP393" s="1185"/>
      <c r="BQ393" s="1185"/>
      <c r="BR393" s="1185"/>
      <c r="BS393" s="1185"/>
      <c r="BT393" s="1185"/>
      <c r="BU393" s="1185"/>
      <c r="BW393" s="1181"/>
    </row>
    <row r="394" spans="51:75">
      <c r="AY394" s="1184"/>
      <c r="AZ394" s="1189">
        <v>659</v>
      </c>
      <c r="BA394" s="1185">
        <v>9</v>
      </c>
      <c r="BB394" s="1188">
        <v>12.83</v>
      </c>
      <c r="BC394" s="1187">
        <v>6.9</v>
      </c>
      <c r="BD394" s="1172">
        <v>3000</v>
      </c>
      <c r="BE394" s="1172">
        <v>5000</v>
      </c>
      <c r="BF394" s="1172">
        <v>7000</v>
      </c>
      <c r="BG394" s="1172">
        <v>7500</v>
      </c>
      <c r="BH394" s="1172">
        <v>10500</v>
      </c>
      <c r="BI394" s="1172">
        <v>14000</v>
      </c>
      <c r="BJ394" s="1185" t="s">
        <v>1894</v>
      </c>
      <c r="BK394" s="1185"/>
      <c r="BL394" s="1185" t="s">
        <v>1390</v>
      </c>
      <c r="BM394" s="1185"/>
      <c r="BN394" s="1186"/>
      <c r="BO394" s="1185" t="s">
        <v>2016</v>
      </c>
      <c r="BP394" s="1185"/>
      <c r="BQ394" s="1185"/>
      <c r="BR394" s="1185"/>
      <c r="BS394" s="1185"/>
      <c r="BT394" s="1185"/>
      <c r="BU394" s="1185"/>
      <c r="BW394" s="1181"/>
    </row>
    <row r="395" spans="51:75">
      <c r="AY395" s="1184"/>
      <c r="AZ395" s="1189">
        <v>660</v>
      </c>
      <c r="BA395" s="1185">
        <v>9</v>
      </c>
      <c r="BB395" s="1188">
        <v>1.63</v>
      </c>
      <c r="BC395" s="1187">
        <v>5.7</v>
      </c>
      <c r="BD395" s="1172">
        <v>3000</v>
      </c>
      <c r="BE395" s="1172">
        <v>5000</v>
      </c>
      <c r="BF395" s="1172">
        <v>7000</v>
      </c>
      <c r="BG395" s="1172">
        <v>7500</v>
      </c>
      <c r="BH395" s="1172">
        <v>10500</v>
      </c>
      <c r="BI395" s="1172">
        <v>14000</v>
      </c>
      <c r="BJ395" s="1185" t="s">
        <v>1894</v>
      </c>
      <c r="BK395" s="1185"/>
      <c r="BL395" s="1185" t="s">
        <v>1390</v>
      </c>
      <c r="BM395" s="1185"/>
      <c r="BN395" s="1186"/>
      <c r="BO395" s="1185" t="s">
        <v>2015</v>
      </c>
      <c r="BP395" s="1185"/>
      <c r="BQ395" s="1185"/>
      <c r="BR395" s="1185"/>
      <c r="BS395" s="1185"/>
      <c r="BT395" s="1185"/>
      <c r="BU395" s="1185"/>
      <c r="BW395" s="1181"/>
    </row>
    <row r="396" spans="51:75">
      <c r="AY396" s="1184"/>
      <c r="AZ396" s="1189">
        <v>662</v>
      </c>
      <c r="BA396" s="1185">
        <v>9</v>
      </c>
      <c r="BB396" s="1188">
        <v>6.94</v>
      </c>
      <c r="BC396" s="1187">
        <v>5.5</v>
      </c>
      <c r="BD396" s="1172">
        <v>3000</v>
      </c>
      <c r="BE396" s="1172">
        <v>5000</v>
      </c>
      <c r="BF396" s="1172">
        <v>7000</v>
      </c>
      <c r="BG396" s="1172">
        <v>7500</v>
      </c>
      <c r="BH396" s="1172">
        <v>10500</v>
      </c>
      <c r="BI396" s="1172">
        <v>14000</v>
      </c>
      <c r="BJ396" s="1185" t="s">
        <v>1894</v>
      </c>
      <c r="BK396" s="1185"/>
      <c r="BL396" s="1185" t="s">
        <v>1390</v>
      </c>
      <c r="BM396" s="1185"/>
      <c r="BN396" s="1186"/>
      <c r="BO396" s="1185" t="s">
        <v>2014</v>
      </c>
      <c r="BP396" s="1185"/>
      <c r="BQ396" s="1185"/>
      <c r="BR396" s="1185"/>
      <c r="BS396" s="1185"/>
      <c r="BT396" s="1185"/>
      <c r="BU396" s="1185"/>
      <c r="BW396" s="1181"/>
    </row>
    <row r="397" spans="51:75">
      <c r="AY397" s="1184"/>
      <c r="AZ397" s="1189">
        <v>664</v>
      </c>
      <c r="BA397" s="1185">
        <v>9</v>
      </c>
      <c r="BB397" s="1188">
        <v>37.5</v>
      </c>
      <c r="BC397" s="1187">
        <v>4.8</v>
      </c>
      <c r="BD397" s="1172">
        <v>3000</v>
      </c>
      <c r="BE397" s="1172">
        <v>5000</v>
      </c>
      <c r="BF397" s="1172">
        <v>7000</v>
      </c>
      <c r="BG397" s="1172">
        <v>7500</v>
      </c>
      <c r="BH397" s="1172">
        <v>10500</v>
      </c>
      <c r="BI397" s="1172">
        <v>14000</v>
      </c>
      <c r="BJ397" s="1185" t="s">
        <v>1894</v>
      </c>
      <c r="BK397" s="1185"/>
      <c r="BL397" s="1185" t="s">
        <v>1390</v>
      </c>
      <c r="BM397" s="1185"/>
      <c r="BN397" s="1186"/>
      <c r="BO397" s="1185" t="s">
        <v>2013</v>
      </c>
      <c r="BP397" s="1185"/>
      <c r="BQ397" s="1185"/>
      <c r="BR397" s="1185"/>
      <c r="BS397" s="1185"/>
      <c r="BT397" s="1185"/>
      <c r="BU397" s="1185"/>
      <c r="BW397" s="1181"/>
    </row>
    <row r="398" spans="51:75">
      <c r="AY398" s="1184"/>
      <c r="AZ398" s="1189">
        <v>665</v>
      </c>
      <c r="BA398" s="1185">
        <v>9</v>
      </c>
      <c r="BB398" s="1188">
        <v>5.36</v>
      </c>
      <c r="BC398" s="1187">
        <v>6.4</v>
      </c>
      <c r="BD398" s="1172">
        <v>3000</v>
      </c>
      <c r="BE398" s="1172">
        <v>5000</v>
      </c>
      <c r="BF398" s="1172">
        <v>7000</v>
      </c>
      <c r="BG398" s="1172">
        <v>7500</v>
      </c>
      <c r="BH398" s="1172">
        <v>10500</v>
      </c>
      <c r="BI398" s="1172">
        <v>14000</v>
      </c>
      <c r="BJ398" s="1185" t="s">
        <v>1894</v>
      </c>
      <c r="BK398" s="1185"/>
      <c r="BL398" s="1185" t="s">
        <v>1390</v>
      </c>
      <c r="BM398" s="1185"/>
      <c r="BN398" s="1186"/>
      <c r="BO398" s="1185" t="s">
        <v>2012</v>
      </c>
      <c r="BP398" s="1185"/>
      <c r="BQ398" s="1185"/>
      <c r="BR398" s="1185"/>
      <c r="BS398" s="1185"/>
      <c r="BT398" s="1185"/>
      <c r="BU398" s="1185"/>
      <c r="BW398" s="1181"/>
    </row>
    <row r="399" spans="51:75">
      <c r="AY399" s="1184"/>
      <c r="AZ399" s="1189">
        <v>666</v>
      </c>
      <c r="BA399" s="1185">
        <v>9</v>
      </c>
      <c r="BB399" s="1188">
        <v>6.94</v>
      </c>
      <c r="BC399" s="1187">
        <v>5.5</v>
      </c>
      <c r="BD399" s="1172">
        <v>3000</v>
      </c>
      <c r="BE399" s="1172">
        <v>5000</v>
      </c>
      <c r="BF399" s="1172">
        <v>7000</v>
      </c>
      <c r="BG399" s="1172">
        <v>7500</v>
      </c>
      <c r="BH399" s="1172">
        <v>10500</v>
      </c>
      <c r="BI399" s="1172">
        <v>14000</v>
      </c>
      <c r="BJ399" s="1185" t="s">
        <v>1894</v>
      </c>
      <c r="BK399" s="1185"/>
      <c r="BL399" s="1185" t="s">
        <v>1390</v>
      </c>
      <c r="BM399" s="1185"/>
      <c r="BN399" s="1186"/>
      <c r="BO399" s="1185" t="s">
        <v>2011</v>
      </c>
      <c r="BP399" s="1185"/>
      <c r="BQ399" s="1185"/>
      <c r="BR399" s="1185"/>
      <c r="BS399" s="1185"/>
      <c r="BT399" s="1185"/>
      <c r="BU399" s="1185"/>
      <c r="BW399" s="1181"/>
    </row>
    <row r="400" spans="51:75">
      <c r="AY400" s="1184"/>
      <c r="AZ400" s="1189">
        <v>667</v>
      </c>
      <c r="BA400" s="1185">
        <v>9</v>
      </c>
      <c r="BB400" s="1188">
        <v>37.5</v>
      </c>
      <c r="BC400" s="1187">
        <v>4.8</v>
      </c>
      <c r="BD400" s="1172">
        <v>3000</v>
      </c>
      <c r="BE400" s="1172">
        <v>5000</v>
      </c>
      <c r="BF400" s="1172">
        <v>7000</v>
      </c>
      <c r="BG400" s="1172">
        <v>7500</v>
      </c>
      <c r="BH400" s="1172">
        <v>10500</v>
      </c>
      <c r="BI400" s="1172">
        <v>14000</v>
      </c>
      <c r="BJ400" s="1185" t="s">
        <v>1894</v>
      </c>
      <c r="BK400" s="1185"/>
      <c r="BL400" s="1185" t="s">
        <v>1390</v>
      </c>
      <c r="BM400" s="1185"/>
      <c r="BN400" s="1186"/>
      <c r="BO400" s="1185" t="s">
        <v>2010</v>
      </c>
      <c r="BP400" s="1185"/>
      <c r="BQ400" s="1185"/>
      <c r="BR400" s="1185"/>
      <c r="BS400" s="1185"/>
      <c r="BT400" s="1185"/>
      <c r="BU400" s="1185"/>
      <c r="BW400" s="1181"/>
    </row>
    <row r="401" spans="51:75">
      <c r="AY401" s="1184"/>
      <c r="AZ401" s="1189">
        <v>669</v>
      </c>
      <c r="BA401" s="1185">
        <v>9</v>
      </c>
      <c r="BB401" s="1188">
        <v>5.36</v>
      </c>
      <c r="BC401" s="1187">
        <v>6.4</v>
      </c>
      <c r="BD401" s="1172">
        <v>3000</v>
      </c>
      <c r="BE401" s="1172">
        <v>5000</v>
      </c>
      <c r="BF401" s="1172">
        <v>7000</v>
      </c>
      <c r="BG401" s="1172">
        <v>7500</v>
      </c>
      <c r="BH401" s="1172">
        <v>10500</v>
      </c>
      <c r="BI401" s="1172">
        <v>14000</v>
      </c>
      <c r="BJ401" s="1185" t="s">
        <v>1894</v>
      </c>
      <c r="BK401" s="1185"/>
      <c r="BL401" s="1185" t="s">
        <v>1390</v>
      </c>
      <c r="BM401" s="1185"/>
      <c r="BN401" s="1186"/>
      <c r="BO401" s="1185" t="s">
        <v>2009</v>
      </c>
      <c r="BP401" s="1185"/>
      <c r="BQ401" s="1185"/>
      <c r="BR401" s="1185"/>
      <c r="BS401" s="1185"/>
      <c r="BT401" s="1185"/>
      <c r="BU401" s="1185"/>
      <c r="BW401" s="1181"/>
    </row>
    <row r="402" spans="51:75">
      <c r="AY402" s="1184"/>
      <c r="AZ402" s="1189">
        <v>670</v>
      </c>
      <c r="BA402" s="1185">
        <v>9</v>
      </c>
      <c r="BB402" s="1188">
        <v>5.75</v>
      </c>
      <c r="BC402" s="1187">
        <v>5.6</v>
      </c>
      <c r="BD402" s="1172">
        <v>3000</v>
      </c>
      <c r="BE402" s="1172">
        <v>5000</v>
      </c>
      <c r="BF402" s="1172">
        <v>7000</v>
      </c>
      <c r="BG402" s="1172">
        <v>7500</v>
      </c>
      <c r="BH402" s="1172">
        <v>10500</v>
      </c>
      <c r="BI402" s="1172">
        <v>14000</v>
      </c>
      <c r="BJ402" s="1185" t="s">
        <v>1894</v>
      </c>
      <c r="BK402" s="1185"/>
      <c r="BL402" s="1185" t="s">
        <v>1390</v>
      </c>
      <c r="BM402" s="1185"/>
      <c r="BN402" s="1186"/>
      <c r="BO402" s="1185" t="s">
        <v>2008</v>
      </c>
      <c r="BP402" s="1185"/>
      <c r="BQ402" s="1185"/>
      <c r="BR402" s="1185"/>
      <c r="BS402" s="1185"/>
      <c r="BT402" s="1185"/>
      <c r="BU402" s="1185"/>
      <c r="BW402" s="1181"/>
    </row>
    <row r="403" spans="51:75">
      <c r="AY403" s="1184"/>
      <c r="AZ403" s="1189">
        <v>671</v>
      </c>
      <c r="BA403" s="1185">
        <v>9</v>
      </c>
      <c r="BB403" s="1188">
        <v>1.63</v>
      </c>
      <c r="BC403" s="1187">
        <v>5.7</v>
      </c>
      <c r="BD403" s="1172">
        <v>3000</v>
      </c>
      <c r="BE403" s="1172">
        <v>5000</v>
      </c>
      <c r="BF403" s="1172">
        <v>7000</v>
      </c>
      <c r="BG403" s="1172">
        <v>7500</v>
      </c>
      <c r="BH403" s="1172">
        <v>10500</v>
      </c>
      <c r="BI403" s="1172">
        <v>14000</v>
      </c>
      <c r="BJ403" s="1185" t="s">
        <v>1894</v>
      </c>
      <c r="BK403" s="1185"/>
      <c r="BL403" s="1185" t="s">
        <v>1390</v>
      </c>
      <c r="BM403" s="1185"/>
      <c r="BN403" s="1186"/>
      <c r="BO403" s="1185" t="s">
        <v>2007</v>
      </c>
      <c r="BP403" s="1185"/>
      <c r="BQ403" s="1185"/>
      <c r="BR403" s="1185"/>
      <c r="BS403" s="1185"/>
      <c r="BT403" s="1185"/>
      <c r="BU403" s="1185"/>
      <c r="BW403" s="1181"/>
    </row>
    <row r="404" spans="51:75">
      <c r="AY404" s="1184"/>
      <c r="AZ404" s="1189">
        <v>672</v>
      </c>
      <c r="BA404" s="1185">
        <v>9</v>
      </c>
      <c r="BB404" s="1188">
        <v>12.83</v>
      </c>
      <c r="BC404" s="1187">
        <v>6.9</v>
      </c>
      <c r="BD404" s="1172">
        <v>3000</v>
      </c>
      <c r="BE404" s="1172">
        <v>5000</v>
      </c>
      <c r="BF404" s="1172">
        <v>7000</v>
      </c>
      <c r="BG404" s="1172">
        <v>7500</v>
      </c>
      <c r="BH404" s="1172">
        <v>10500</v>
      </c>
      <c r="BI404" s="1172">
        <v>14000</v>
      </c>
      <c r="BJ404" s="1185" t="s">
        <v>1894</v>
      </c>
      <c r="BK404" s="1185"/>
      <c r="BL404" s="1185" t="s">
        <v>1390</v>
      </c>
      <c r="BM404" s="1185"/>
      <c r="BN404" s="1186"/>
      <c r="BO404" s="1185" t="s">
        <v>2006</v>
      </c>
      <c r="BP404" s="1185"/>
      <c r="BQ404" s="1185"/>
      <c r="BR404" s="1185"/>
      <c r="BS404" s="1185"/>
      <c r="BT404" s="1185"/>
      <c r="BU404" s="1185"/>
      <c r="BW404" s="1181"/>
    </row>
    <row r="405" spans="51:75">
      <c r="AY405" s="1184"/>
      <c r="AZ405" s="1189">
        <v>673</v>
      </c>
      <c r="BA405" s="1185">
        <v>9</v>
      </c>
      <c r="BB405" s="1188">
        <v>12.83</v>
      </c>
      <c r="BC405" s="1187">
        <v>6.9</v>
      </c>
      <c r="BD405" s="1172">
        <v>3000</v>
      </c>
      <c r="BE405" s="1172">
        <v>5000</v>
      </c>
      <c r="BF405" s="1172">
        <v>7000</v>
      </c>
      <c r="BG405" s="1172">
        <v>7500</v>
      </c>
      <c r="BH405" s="1172">
        <v>10500</v>
      </c>
      <c r="BI405" s="1172">
        <v>14000</v>
      </c>
      <c r="BJ405" s="1185" t="s">
        <v>1894</v>
      </c>
      <c r="BK405" s="1185"/>
      <c r="BL405" s="1185" t="s">
        <v>1390</v>
      </c>
      <c r="BM405" s="1185"/>
      <c r="BN405" s="1186">
        <v>0.4</v>
      </c>
      <c r="BO405" s="1185" t="s">
        <v>2005</v>
      </c>
      <c r="BP405" s="1185"/>
      <c r="BQ405" s="1185"/>
      <c r="BR405" s="1185"/>
      <c r="BS405" s="1185"/>
      <c r="BT405" s="1185"/>
      <c r="BU405" s="1185"/>
      <c r="BW405" s="1181"/>
    </row>
    <row r="406" spans="51:75">
      <c r="AY406" s="1184"/>
      <c r="AZ406" s="1189">
        <v>709</v>
      </c>
      <c r="BA406" s="1185">
        <v>16</v>
      </c>
      <c r="BB406" s="1188"/>
      <c r="BC406" s="1187"/>
      <c r="BD406" s="1172">
        <v>500</v>
      </c>
      <c r="BE406" s="1172">
        <v>750</v>
      </c>
      <c r="BF406" s="1172">
        <v>1000</v>
      </c>
      <c r="BG406" s="1172">
        <v>7000</v>
      </c>
      <c r="BH406" s="1172">
        <v>1500</v>
      </c>
      <c r="BI406" s="1172">
        <v>2000</v>
      </c>
      <c r="BJ406" s="1185"/>
      <c r="BK406" s="1185"/>
      <c r="BL406" s="1185"/>
      <c r="BM406" s="1185"/>
      <c r="BN406" s="1186">
        <v>0.6</v>
      </c>
      <c r="BO406" s="1185" t="s">
        <v>2004</v>
      </c>
      <c r="BP406" s="1185"/>
      <c r="BQ406" s="1185"/>
      <c r="BR406" s="1185"/>
      <c r="BS406" s="1185"/>
      <c r="BT406" s="1185"/>
      <c r="BU406" s="1185"/>
      <c r="BW406" s="1181"/>
    </row>
    <row r="407" spans="51:75">
      <c r="AY407" s="1184"/>
      <c r="AZ407" s="1189">
        <v>711</v>
      </c>
      <c r="BA407" s="1172">
        <v>0</v>
      </c>
      <c r="BB407" s="1188"/>
      <c r="BC407" s="1187"/>
      <c r="BD407" s="1172">
        <v>0</v>
      </c>
      <c r="BE407" s="1172">
        <v>0</v>
      </c>
      <c r="BF407" s="1172">
        <v>0</v>
      </c>
      <c r="BG407" s="1172">
        <v>0</v>
      </c>
      <c r="BH407" s="1172">
        <v>0</v>
      </c>
      <c r="BI407" s="1172">
        <v>0</v>
      </c>
      <c r="BJ407" s="1185"/>
      <c r="BK407" s="1185"/>
      <c r="BL407" s="1185"/>
      <c r="BM407" s="1185"/>
      <c r="BN407" s="1186"/>
      <c r="BO407" s="1185" t="s">
        <v>2003</v>
      </c>
      <c r="BP407" s="1185"/>
      <c r="BQ407" s="1185"/>
      <c r="BR407" s="1185"/>
      <c r="BS407" s="1185"/>
      <c r="BT407" s="1185"/>
      <c r="BU407" s="1185"/>
      <c r="BW407" s="1181"/>
    </row>
    <row r="408" spans="51:75">
      <c r="AY408" s="1184"/>
      <c r="AZ408" s="1189">
        <v>713</v>
      </c>
      <c r="BA408" s="1172">
        <v>0</v>
      </c>
      <c r="BB408" s="1188">
        <v>1.1299999999999999</v>
      </c>
      <c r="BC408" s="1187">
        <v>6</v>
      </c>
      <c r="BD408" s="1172">
        <v>0</v>
      </c>
      <c r="BE408" s="1172">
        <v>0</v>
      </c>
      <c r="BF408" s="1172">
        <v>0</v>
      </c>
      <c r="BG408" s="1172">
        <v>0</v>
      </c>
      <c r="BH408" s="1172">
        <v>0</v>
      </c>
      <c r="BI408" s="1172">
        <v>0</v>
      </c>
      <c r="BJ408" s="1185" t="s">
        <v>1348</v>
      </c>
      <c r="BK408" s="1185"/>
      <c r="BL408" s="1185"/>
      <c r="BM408" s="1185"/>
      <c r="BN408" s="1186"/>
      <c r="BO408" s="1185" t="s">
        <v>2002</v>
      </c>
      <c r="BP408" s="1185"/>
      <c r="BQ408" s="1185"/>
      <c r="BR408" s="1185"/>
      <c r="BS408" s="1185"/>
      <c r="BT408" s="1185"/>
      <c r="BU408" s="1185"/>
      <c r="BW408" s="1181"/>
    </row>
    <row r="409" spans="51:75">
      <c r="AY409" s="1184"/>
      <c r="AZ409" s="1189">
        <v>715</v>
      </c>
      <c r="BA409" s="1185">
        <v>16</v>
      </c>
      <c r="BB409" s="1188">
        <v>0.22</v>
      </c>
      <c r="BC409" s="1187">
        <v>7.3</v>
      </c>
      <c r="BD409" s="1172">
        <v>500</v>
      </c>
      <c r="BE409" s="1172">
        <v>1000</v>
      </c>
      <c r="BF409" s="1172">
        <v>1500</v>
      </c>
      <c r="BG409" s="1172">
        <v>2000</v>
      </c>
      <c r="BH409" s="1172">
        <v>2500</v>
      </c>
      <c r="BI409" s="1172">
        <v>3000</v>
      </c>
      <c r="BJ409" s="1185" t="s">
        <v>1348</v>
      </c>
      <c r="BK409" s="1185"/>
      <c r="BL409" s="1185"/>
      <c r="BM409" s="1185"/>
      <c r="BN409" s="1186"/>
      <c r="BO409" s="1185" t="s">
        <v>2001</v>
      </c>
      <c r="BP409" s="1185"/>
      <c r="BQ409" s="1185"/>
      <c r="BR409" s="1185"/>
      <c r="BS409" s="1185"/>
      <c r="BT409" s="1185"/>
      <c r="BU409" s="1185"/>
      <c r="BW409" s="1181"/>
    </row>
    <row r="410" spans="51:75">
      <c r="AY410" s="1184"/>
      <c r="AZ410" s="1189">
        <v>716</v>
      </c>
      <c r="BA410" s="1185">
        <v>16</v>
      </c>
      <c r="BB410" s="1188">
        <v>0.22</v>
      </c>
      <c r="BC410" s="1187">
        <v>7.3</v>
      </c>
      <c r="BD410" s="1172">
        <v>500</v>
      </c>
      <c r="BE410" s="1172">
        <v>1000</v>
      </c>
      <c r="BF410" s="1172">
        <v>1500</v>
      </c>
      <c r="BG410" s="1172">
        <v>2000</v>
      </c>
      <c r="BH410" s="1172">
        <v>2500</v>
      </c>
      <c r="BI410" s="1172">
        <v>3000</v>
      </c>
      <c r="BJ410" s="1185" t="s">
        <v>1348</v>
      </c>
      <c r="BK410" s="1185"/>
      <c r="BL410" s="1185" t="s">
        <v>1333</v>
      </c>
      <c r="BM410" s="1185"/>
      <c r="BN410" s="1186"/>
      <c r="BO410" s="1185" t="s">
        <v>2000</v>
      </c>
      <c r="BP410" s="1185"/>
      <c r="BQ410" s="1185"/>
      <c r="BR410" s="1185"/>
      <c r="BS410" s="1185"/>
      <c r="BT410" s="1185"/>
      <c r="BU410" s="1185"/>
      <c r="BW410" s="1181"/>
    </row>
    <row r="411" spans="51:75">
      <c r="AY411" s="1184"/>
      <c r="AZ411" s="1189">
        <v>717</v>
      </c>
      <c r="BA411" s="1185">
        <v>16</v>
      </c>
      <c r="BB411" s="1188">
        <v>0.22</v>
      </c>
      <c r="BC411" s="1187">
        <v>7.3</v>
      </c>
      <c r="BD411" s="1172">
        <v>500</v>
      </c>
      <c r="BE411" s="1172">
        <v>1000</v>
      </c>
      <c r="BF411" s="1172">
        <v>1500</v>
      </c>
      <c r="BG411" s="1172">
        <v>2000</v>
      </c>
      <c r="BH411" s="1172">
        <v>2500</v>
      </c>
      <c r="BI411" s="1172">
        <v>3000</v>
      </c>
      <c r="BJ411" s="1185" t="s">
        <v>1348</v>
      </c>
      <c r="BK411" s="1185"/>
      <c r="BL411" s="1185" t="s">
        <v>1333</v>
      </c>
      <c r="BM411" s="1185"/>
      <c r="BN411" s="1186">
        <v>0.4</v>
      </c>
      <c r="BO411" s="1185" t="s">
        <v>1999</v>
      </c>
      <c r="BP411" s="1185"/>
      <c r="BQ411" s="1185"/>
      <c r="BR411" s="1185"/>
      <c r="BS411" s="1185"/>
      <c r="BT411" s="1185"/>
      <c r="BU411" s="1185"/>
      <c r="BW411" s="1181"/>
    </row>
    <row r="412" spans="51:75">
      <c r="AY412" s="1184"/>
      <c r="AZ412" s="1189">
        <v>718</v>
      </c>
      <c r="BA412" s="1172">
        <v>0</v>
      </c>
      <c r="BB412" s="1188">
        <v>0.74</v>
      </c>
      <c r="BC412" s="1187">
        <v>6.2</v>
      </c>
      <c r="BD412" s="1172">
        <v>0</v>
      </c>
      <c r="BE412" s="1172">
        <v>0</v>
      </c>
      <c r="BF412" s="1172">
        <v>0</v>
      </c>
      <c r="BG412" s="1172">
        <v>0</v>
      </c>
      <c r="BH412" s="1172">
        <v>0</v>
      </c>
      <c r="BI412" s="1172">
        <v>0</v>
      </c>
      <c r="BJ412" s="1185" t="s">
        <v>1348</v>
      </c>
      <c r="BK412" s="1185"/>
      <c r="BL412" s="1185"/>
      <c r="BM412" s="1185"/>
      <c r="BN412" s="1186"/>
      <c r="BO412" s="1185" t="s">
        <v>1998</v>
      </c>
      <c r="BP412" s="1185"/>
      <c r="BQ412" s="1185"/>
      <c r="BR412" s="1185"/>
      <c r="BS412" s="1185"/>
      <c r="BT412" s="1185"/>
      <c r="BU412" s="1185"/>
      <c r="BW412" s="1181"/>
    </row>
    <row r="413" spans="51:75">
      <c r="AY413" s="1184"/>
      <c r="AZ413" s="1189">
        <v>719</v>
      </c>
      <c r="BA413" s="1185">
        <v>16</v>
      </c>
      <c r="BB413" s="1188">
        <v>1.07</v>
      </c>
      <c r="BC413" s="1187">
        <v>6.6</v>
      </c>
      <c r="BD413" s="1172">
        <v>500</v>
      </c>
      <c r="BE413" s="1172">
        <v>1000</v>
      </c>
      <c r="BF413" s="1172">
        <v>1500</v>
      </c>
      <c r="BG413" s="1172">
        <v>2000</v>
      </c>
      <c r="BH413" s="1172">
        <v>2500</v>
      </c>
      <c r="BI413" s="1172">
        <v>3000</v>
      </c>
      <c r="BJ413" s="1185" t="s">
        <v>1348</v>
      </c>
      <c r="BK413" s="1185"/>
      <c r="BL413" s="1185" t="s">
        <v>1333</v>
      </c>
      <c r="BM413" s="1185"/>
      <c r="BN413" s="1186"/>
      <c r="BO413" s="1185" t="s">
        <v>1997</v>
      </c>
      <c r="BP413" s="1185"/>
      <c r="BQ413" s="1185"/>
      <c r="BR413" s="1185"/>
      <c r="BS413" s="1185"/>
      <c r="BT413" s="1185"/>
      <c r="BU413" s="1185"/>
      <c r="BW413" s="1181"/>
    </row>
    <row r="414" spans="51:75">
      <c r="AY414" s="1184"/>
      <c r="AZ414" s="1189">
        <v>720</v>
      </c>
      <c r="BA414" s="1185">
        <v>16</v>
      </c>
      <c r="BB414" s="1188">
        <v>1.07</v>
      </c>
      <c r="BC414" s="1187">
        <v>6.6</v>
      </c>
      <c r="BD414" s="1172">
        <v>500</v>
      </c>
      <c r="BE414" s="1172">
        <v>1000</v>
      </c>
      <c r="BF414" s="1172">
        <v>1500</v>
      </c>
      <c r="BG414" s="1172">
        <v>2000</v>
      </c>
      <c r="BH414" s="1172">
        <v>2500</v>
      </c>
      <c r="BI414" s="1172">
        <v>3000</v>
      </c>
      <c r="BJ414" s="1185" t="s">
        <v>1348</v>
      </c>
      <c r="BK414" s="1185"/>
      <c r="BL414" s="1185" t="s">
        <v>1333</v>
      </c>
      <c r="BM414" s="1185"/>
      <c r="BN414" s="1186">
        <v>0.35</v>
      </c>
      <c r="BO414" s="1185" t="s">
        <v>1996</v>
      </c>
      <c r="BP414" s="1185"/>
      <c r="BQ414" s="1185"/>
      <c r="BR414" s="1185"/>
      <c r="BS414" s="1172"/>
      <c r="BT414" s="1185"/>
      <c r="BU414" s="1185"/>
      <c r="BW414" s="1181"/>
    </row>
    <row r="415" spans="51:75">
      <c r="AY415" s="1184"/>
      <c r="AZ415" s="1189">
        <v>722</v>
      </c>
      <c r="BA415" s="1172">
        <v>0</v>
      </c>
      <c r="BB415" s="1188">
        <v>0</v>
      </c>
      <c r="BC415" s="1187">
        <v>7.3</v>
      </c>
      <c r="BD415" s="1172">
        <v>0</v>
      </c>
      <c r="BE415" s="1172">
        <v>0</v>
      </c>
      <c r="BF415" s="1172">
        <v>0</v>
      </c>
      <c r="BG415" s="1172">
        <v>0</v>
      </c>
      <c r="BH415" s="1172">
        <v>0</v>
      </c>
      <c r="BI415" s="1172">
        <v>0</v>
      </c>
      <c r="BJ415" s="1185" t="s">
        <v>1348</v>
      </c>
      <c r="BK415" s="1185"/>
      <c r="BL415" s="1185"/>
      <c r="BM415" s="1185"/>
      <c r="BN415" s="1186"/>
      <c r="BO415" s="1185" t="s">
        <v>1995</v>
      </c>
      <c r="BP415" s="1185"/>
      <c r="BQ415" s="1185"/>
      <c r="BR415" s="1185"/>
      <c r="BS415" s="1185"/>
      <c r="BT415" s="1185"/>
      <c r="BU415" s="1185"/>
      <c r="BW415" s="1181"/>
    </row>
    <row r="416" spans="51:75">
      <c r="AY416" s="1184"/>
      <c r="AZ416" s="1189">
        <v>724</v>
      </c>
      <c r="BA416" s="1185">
        <v>16</v>
      </c>
      <c r="BB416" s="1188"/>
      <c r="BC416" s="1187"/>
      <c r="BD416" s="1172">
        <v>500</v>
      </c>
      <c r="BE416" s="1172">
        <v>1000</v>
      </c>
      <c r="BF416" s="1172">
        <v>1500</v>
      </c>
      <c r="BG416" s="1172">
        <v>2000</v>
      </c>
      <c r="BH416" s="1172">
        <v>2500</v>
      </c>
      <c r="BI416" s="1172">
        <v>3000</v>
      </c>
      <c r="BJ416" s="1185" t="s">
        <v>1382</v>
      </c>
      <c r="BK416" s="1185"/>
      <c r="BL416" s="1185"/>
      <c r="BM416" s="1185"/>
      <c r="BN416" s="1186">
        <v>0.55000000000000004</v>
      </c>
      <c r="BO416" s="1185" t="s">
        <v>1994</v>
      </c>
      <c r="BP416" s="1185"/>
      <c r="BQ416" s="1185"/>
      <c r="BR416" s="1185"/>
      <c r="BS416" s="1185"/>
      <c r="BT416" s="1185"/>
      <c r="BU416" s="1185"/>
      <c r="BW416" s="1181"/>
    </row>
    <row r="417" spans="51:75">
      <c r="AY417" s="1184"/>
      <c r="AZ417" s="1189">
        <v>725</v>
      </c>
      <c r="BA417" s="1185">
        <v>16</v>
      </c>
      <c r="BB417" s="1188"/>
      <c r="BC417" s="1187"/>
      <c r="BD417" s="1172">
        <v>500</v>
      </c>
      <c r="BE417" s="1172">
        <v>1000</v>
      </c>
      <c r="BF417" s="1172">
        <v>1500</v>
      </c>
      <c r="BG417" s="1172">
        <v>2000</v>
      </c>
      <c r="BH417" s="1172">
        <v>2500</v>
      </c>
      <c r="BI417" s="1172">
        <v>3000</v>
      </c>
      <c r="BJ417" s="1185"/>
      <c r="BK417" s="1185"/>
      <c r="BL417" s="1185"/>
      <c r="BM417" s="1185"/>
      <c r="BN417" s="1186">
        <v>0.55000000000000004</v>
      </c>
      <c r="BO417" s="1185" t="s">
        <v>1993</v>
      </c>
      <c r="BP417" s="1185"/>
      <c r="BQ417" s="1185"/>
      <c r="BR417" s="1185"/>
      <c r="BS417" s="1185"/>
      <c r="BT417" s="1185"/>
      <c r="BU417" s="1185"/>
      <c r="BW417" s="1181"/>
    </row>
    <row r="418" spans="51:75">
      <c r="AY418" s="1184"/>
      <c r="AZ418" s="1189">
        <v>726</v>
      </c>
      <c r="BA418" s="1185">
        <v>16</v>
      </c>
      <c r="BB418" s="1188">
        <v>8.2799999999999994</v>
      </c>
      <c r="BC418" s="1187">
        <v>6.4</v>
      </c>
      <c r="BD418" s="1172">
        <v>500</v>
      </c>
      <c r="BE418" s="1172">
        <v>750</v>
      </c>
      <c r="BF418" s="1172">
        <v>1000</v>
      </c>
      <c r="BG418" s="1172">
        <v>7000</v>
      </c>
      <c r="BH418" s="1172">
        <v>1500</v>
      </c>
      <c r="BI418" s="1172">
        <v>2000</v>
      </c>
      <c r="BJ418" s="1185" t="s">
        <v>1892</v>
      </c>
      <c r="BK418" s="1185"/>
      <c r="BL418" s="1185" t="s">
        <v>1390</v>
      </c>
      <c r="BM418" s="1185"/>
      <c r="BN418" s="1186"/>
      <c r="BO418" s="1185" t="s">
        <v>1992</v>
      </c>
      <c r="BP418" s="1185"/>
      <c r="BQ418" s="1185"/>
      <c r="BR418" s="1185"/>
      <c r="BS418" s="1185"/>
      <c r="BT418" s="1185"/>
      <c r="BU418" s="1185"/>
      <c r="BW418" s="1181"/>
    </row>
    <row r="419" spans="51:75">
      <c r="AY419" s="1184"/>
      <c r="AZ419" s="1189">
        <v>727</v>
      </c>
      <c r="BA419" s="1185">
        <v>11</v>
      </c>
      <c r="BB419" s="1188">
        <v>7.73</v>
      </c>
      <c r="BC419" s="1187">
        <v>6</v>
      </c>
      <c r="BD419" s="1172">
        <v>3000</v>
      </c>
      <c r="BE419" s="1172">
        <v>4000</v>
      </c>
      <c r="BF419" s="1172">
        <v>5000</v>
      </c>
      <c r="BG419" s="1172">
        <v>7000</v>
      </c>
      <c r="BH419" s="1172">
        <v>8000</v>
      </c>
      <c r="BI419" s="1172">
        <v>9000</v>
      </c>
      <c r="BJ419" s="1185" t="s">
        <v>1950</v>
      </c>
      <c r="BK419" s="1185"/>
      <c r="BL419" s="1185" t="s">
        <v>1390</v>
      </c>
      <c r="BM419" s="1185"/>
      <c r="BN419" s="1186"/>
      <c r="BO419" s="1185" t="s">
        <v>1991</v>
      </c>
      <c r="BP419" s="1185"/>
      <c r="BQ419" s="1185"/>
      <c r="BR419" s="1185"/>
      <c r="BS419" s="1185"/>
      <c r="BT419" s="1185"/>
      <c r="BU419" s="1185"/>
      <c r="BW419" s="1181"/>
    </row>
    <row r="420" spans="51:75">
      <c r="AY420" s="1184"/>
      <c r="AZ420" s="1189">
        <v>728</v>
      </c>
      <c r="BA420" s="1185">
        <v>11</v>
      </c>
      <c r="BB420" s="1188">
        <v>7.73</v>
      </c>
      <c r="BC420" s="1187">
        <v>6</v>
      </c>
      <c r="BD420" s="1172">
        <v>3000</v>
      </c>
      <c r="BE420" s="1172">
        <v>4000</v>
      </c>
      <c r="BF420" s="1172">
        <v>5000</v>
      </c>
      <c r="BG420" s="1172">
        <v>7000</v>
      </c>
      <c r="BH420" s="1172">
        <v>8000</v>
      </c>
      <c r="BI420" s="1172">
        <v>9000</v>
      </c>
      <c r="BJ420" s="1185" t="s">
        <v>1950</v>
      </c>
      <c r="BK420" s="1185"/>
      <c r="BL420" s="1185" t="s">
        <v>1390</v>
      </c>
      <c r="BM420" s="1185"/>
      <c r="BN420" s="1186"/>
      <c r="BO420" s="1185" t="s">
        <v>1990</v>
      </c>
      <c r="BP420" s="1185"/>
      <c r="BQ420" s="1185"/>
      <c r="BR420" s="1185"/>
      <c r="BS420" s="1185"/>
      <c r="BT420" s="1185"/>
      <c r="BU420" s="1185"/>
      <c r="BW420" s="1181"/>
    </row>
    <row r="421" spans="51:75">
      <c r="AY421" s="1184"/>
      <c r="AZ421" s="1189">
        <v>729</v>
      </c>
      <c r="BA421" s="1185">
        <v>11</v>
      </c>
      <c r="BB421" s="1188">
        <v>5.5</v>
      </c>
      <c r="BC421" s="1187">
        <v>5.5</v>
      </c>
      <c r="BD421" s="1172">
        <v>3000</v>
      </c>
      <c r="BE421" s="1172">
        <v>4000</v>
      </c>
      <c r="BF421" s="1172">
        <v>5000</v>
      </c>
      <c r="BG421" s="1172">
        <v>7000</v>
      </c>
      <c r="BH421" s="1172">
        <v>8000</v>
      </c>
      <c r="BI421" s="1172">
        <v>9000</v>
      </c>
      <c r="BJ421" s="1185" t="s">
        <v>1950</v>
      </c>
      <c r="BK421" s="1185"/>
      <c r="BL421" s="1185" t="s">
        <v>1390</v>
      </c>
      <c r="BM421" s="1185"/>
      <c r="BN421" s="1186"/>
      <c r="BO421" s="1185" t="s">
        <v>1989</v>
      </c>
      <c r="BP421" s="1185"/>
      <c r="BQ421" s="1185"/>
      <c r="BR421" s="1185"/>
      <c r="BS421" s="1185"/>
      <c r="BT421" s="1185"/>
      <c r="BU421" s="1185"/>
      <c r="BW421" s="1181"/>
    </row>
    <row r="422" spans="51:75">
      <c r="AY422" s="1184"/>
      <c r="AZ422" s="1189">
        <v>731</v>
      </c>
      <c r="BA422" s="1172">
        <v>0</v>
      </c>
      <c r="BB422" s="1188">
        <v>0.38</v>
      </c>
      <c r="BC422" s="1187">
        <v>5.9</v>
      </c>
      <c r="BD422" s="1172">
        <v>0</v>
      </c>
      <c r="BE422" s="1172">
        <v>0</v>
      </c>
      <c r="BF422" s="1172">
        <v>0</v>
      </c>
      <c r="BG422" s="1172">
        <v>0</v>
      </c>
      <c r="BH422" s="1172">
        <v>0</v>
      </c>
      <c r="BI422" s="1172">
        <v>0</v>
      </c>
      <c r="BJ422" s="1185" t="s">
        <v>1348</v>
      </c>
      <c r="BK422" s="1185"/>
      <c r="BL422" s="1185"/>
      <c r="BM422" s="1185"/>
      <c r="BN422" s="1186"/>
      <c r="BO422" s="1185" t="s">
        <v>1988</v>
      </c>
      <c r="BP422" s="1185"/>
      <c r="BQ422" s="1185"/>
      <c r="BR422" s="1185"/>
      <c r="BS422" s="1185"/>
      <c r="BT422" s="1185"/>
      <c r="BU422" s="1185"/>
      <c r="BW422" s="1181"/>
    </row>
    <row r="423" spans="51:75">
      <c r="AY423" s="1184"/>
      <c r="AZ423" s="1189">
        <v>734</v>
      </c>
      <c r="BA423" s="1185">
        <v>0</v>
      </c>
      <c r="BB423" s="1188">
        <v>2.67</v>
      </c>
      <c r="BC423" s="1187">
        <v>5.8</v>
      </c>
      <c r="BD423" s="1172">
        <v>0</v>
      </c>
      <c r="BE423" s="1172">
        <v>0</v>
      </c>
      <c r="BF423" s="1172">
        <v>0</v>
      </c>
      <c r="BG423" s="1172">
        <v>0</v>
      </c>
      <c r="BH423" s="1172">
        <v>0</v>
      </c>
      <c r="BI423" s="1172">
        <v>0</v>
      </c>
      <c r="BJ423" s="1185" t="s">
        <v>1894</v>
      </c>
      <c r="BK423" s="1185"/>
      <c r="BL423" s="1185" t="s">
        <v>1333</v>
      </c>
      <c r="BM423" s="1185"/>
      <c r="BN423" s="1186">
        <v>0.3</v>
      </c>
      <c r="BO423" s="1185" t="s">
        <v>1987</v>
      </c>
      <c r="BP423" s="1185"/>
      <c r="BQ423" s="1185"/>
      <c r="BR423" s="1185"/>
      <c r="BS423" s="1185"/>
      <c r="BT423" s="1185"/>
      <c r="BU423" s="1185"/>
      <c r="BW423" s="1181"/>
    </row>
    <row r="424" spans="51:75">
      <c r="AY424" s="1184"/>
      <c r="AZ424" s="1189">
        <v>735</v>
      </c>
      <c r="BA424" s="1185">
        <v>11</v>
      </c>
      <c r="BB424" s="1188">
        <v>11.3</v>
      </c>
      <c r="BC424" s="1187">
        <v>6</v>
      </c>
      <c r="BD424" s="1172">
        <v>3000</v>
      </c>
      <c r="BE424" s="1172">
        <v>4000</v>
      </c>
      <c r="BF424" s="1172">
        <v>5000</v>
      </c>
      <c r="BG424" s="1172">
        <v>7000</v>
      </c>
      <c r="BH424" s="1172">
        <v>8000</v>
      </c>
      <c r="BI424" s="1172">
        <v>9000</v>
      </c>
      <c r="BJ424" s="1185" t="s">
        <v>1348</v>
      </c>
      <c r="BK424" s="1185"/>
      <c r="BL424" s="1185" t="s">
        <v>1390</v>
      </c>
      <c r="BM424" s="1185"/>
      <c r="BN424" s="1186"/>
      <c r="BO424" s="1185" t="s">
        <v>1986</v>
      </c>
      <c r="BP424" s="1185"/>
      <c r="BQ424" s="1185"/>
      <c r="BR424" s="1185"/>
      <c r="BS424" s="1185"/>
      <c r="BT424" s="1185"/>
      <c r="BU424" s="1185"/>
      <c r="BW424" s="1181"/>
    </row>
    <row r="425" spans="51:75">
      <c r="AY425" s="1184"/>
      <c r="AZ425" s="1189">
        <v>736</v>
      </c>
      <c r="BA425" s="1185">
        <v>11</v>
      </c>
      <c r="BB425" s="1188">
        <v>4</v>
      </c>
      <c r="BC425" s="1187">
        <v>6.7</v>
      </c>
      <c r="BD425" s="1172">
        <v>3000</v>
      </c>
      <c r="BE425" s="1172">
        <v>4000</v>
      </c>
      <c r="BF425" s="1172">
        <v>5000</v>
      </c>
      <c r="BG425" s="1172">
        <v>7000</v>
      </c>
      <c r="BH425" s="1172">
        <v>8000</v>
      </c>
      <c r="BI425" s="1172">
        <v>9000</v>
      </c>
      <c r="BJ425" s="1185" t="s">
        <v>1348</v>
      </c>
      <c r="BK425" s="1185"/>
      <c r="BL425" s="1185" t="s">
        <v>1390</v>
      </c>
      <c r="BM425" s="1185"/>
      <c r="BN425" s="1186"/>
      <c r="BO425" s="1185" t="s">
        <v>1985</v>
      </c>
      <c r="BP425" s="1185"/>
      <c r="BQ425" s="1185"/>
      <c r="BR425" s="1185"/>
      <c r="BS425" s="1185"/>
      <c r="BT425" s="1185"/>
      <c r="BU425" s="1185"/>
      <c r="BW425" s="1181"/>
    </row>
    <row r="426" spans="51:75">
      <c r="AY426" s="1184"/>
      <c r="AZ426" s="1189">
        <v>737</v>
      </c>
      <c r="BA426" s="1172">
        <v>0</v>
      </c>
      <c r="BB426" s="1188">
        <v>10.94</v>
      </c>
      <c r="BC426" s="1187">
        <v>6.7</v>
      </c>
      <c r="BD426" s="1172">
        <v>0</v>
      </c>
      <c r="BE426" s="1172">
        <v>0</v>
      </c>
      <c r="BF426" s="1172">
        <v>0</v>
      </c>
      <c r="BG426" s="1172">
        <v>0</v>
      </c>
      <c r="BH426" s="1172">
        <v>0</v>
      </c>
      <c r="BI426" s="1172">
        <v>0</v>
      </c>
      <c r="BJ426" s="1185" t="s">
        <v>1348</v>
      </c>
      <c r="BK426" s="1185"/>
      <c r="BL426" s="1185"/>
      <c r="BM426" s="1185"/>
      <c r="BN426" s="1186"/>
      <c r="BO426" s="1185" t="s">
        <v>1984</v>
      </c>
      <c r="BP426" s="1172"/>
      <c r="BQ426" s="1185"/>
      <c r="BR426" s="1185"/>
      <c r="BS426" s="1185"/>
      <c r="BT426" s="1185"/>
      <c r="BU426" s="1185"/>
      <c r="BW426" s="1181"/>
    </row>
    <row r="427" spans="51:75">
      <c r="AY427" s="1184"/>
      <c r="AZ427" s="1189">
        <v>738</v>
      </c>
      <c r="BA427" s="1172">
        <v>0</v>
      </c>
      <c r="BB427" s="1188">
        <v>0.59</v>
      </c>
      <c r="BC427" s="1187">
        <v>6.3</v>
      </c>
      <c r="BD427" s="1172">
        <v>0</v>
      </c>
      <c r="BE427" s="1172">
        <v>0</v>
      </c>
      <c r="BF427" s="1172">
        <v>0</v>
      </c>
      <c r="BG427" s="1172">
        <v>0</v>
      </c>
      <c r="BH427" s="1172">
        <v>0</v>
      </c>
      <c r="BI427" s="1172">
        <v>0</v>
      </c>
      <c r="BJ427" s="1185" t="s">
        <v>1320</v>
      </c>
      <c r="BK427" s="1185"/>
      <c r="BL427" s="1185"/>
      <c r="BM427" s="1185"/>
      <c r="BN427" s="1186"/>
      <c r="BO427" s="1185" t="s">
        <v>1983</v>
      </c>
      <c r="BP427" s="1185"/>
      <c r="BQ427" s="1185"/>
      <c r="BR427" s="1185"/>
      <c r="BS427" s="1185"/>
      <c r="BT427" s="1185"/>
      <c r="BU427" s="1185"/>
      <c r="BW427" s="1181"/>
    </row>
    <row r="428" spans="51:75">
      <c r="AY428" s="1184"/>
      <c r="AZ428" s="1189">
        <v>741</v>
      </c>
      <c r="BA428" s="1172">
        <v>0</v>
      </c>
      <c r="BB428" s="1188">
        <v>4.91</v>
      </c>
      <c r="BC428" s="1187">
        <v>6.2</v>
      </c>
      <c r="BD428" s="1172">
        <v>0</v>
      </c>
      <c r="BE428" s="1172">
        <v>0</v>
      </c>
      <c r="BF428" s="1172">
        <v>0</v>
      </c>
      <c r="BG428" s="1172">
        <v>0</v>
      </c>
      <c r="BH428" s="1172">
        <v>0</v>
      </c>
      <c r="BI428" s="1172">
        <v>0</v>
      </c>
      <c r="BJ428" s="1185" t="s">
        <v>1348</v>
      </c>
      <c r="BK428" s="1185"/>
      <c r="BL428" s="1185"/>
      <c r="BM428" s="1185"/>
      <c r="BN428" s="1186"/>
      <c r="BO428" s="1185" t="s">
        <v>1982</v>
      </c>
      <c r="BP428" s="1185"/>
      <c r="BQ428" s="1185"/>
      <c r="BR428" s="1185"/>
      <c r="BS428" s="1185"/>
      <c r="BT428" s="1185"/>
      <c r="BU428" s="1185"/>
      <c r="BW428" s="1181"/>
    </row>
    <row r="429" spans="51:75">
      <c r="AY429" s="1184"/>
      <c r="AZ429" s="1189">
        <v>743</v>
      </c>
      <c r="BA429" s="1172">
        <v>0</v>
      </c>
      <c r="BB429" s="1188">
        <v>2.85</v>
      </c>
      <c r="BC429" s="1187">
        <v>7.7</v>
      </c>
      <c r="BD429" s="1172">
        <v>0</v>
      </c>
      <c r="BE429" s="1172">
        <v>0</v>
      </c>
      <c r="BF429" s="1172">
        <v>0</v>
      </c>
      <c r="BG429" s="1172">
        <v>0</v>
      </c>
      <c r="BH429" s="1172">
        <v>0</v>
      </c>
      <c r="BI429" s="1172">
        <v>0</v>
      </c>
      <c r="BJ429" s="1185" t="s">
        <v>1894</v>
      </c>
      <c r="BK429" s="1185"/>
      <c r="BL429" s="1185" t="s">
        <v>1329</v>
      </c>
      <c r="BM429" s="1185"/>
      <c r="BN429" s="1186"/>
      <c r="BO429" s="1185" t="s">
        <v>1981</v>
      </c>
      <c r="BP429" s="1185"/>
      <c r="BQ429" s="1185"/>
      <c r="BR429" s="1185"/>
      <c r="BS429" s="1185"/>
      <c r="BT429" s="1185"/>
      <c r="BU429" s="1185"/>
      <c r="BW429" s="1181"/>
    </row>
    <row r="430" spans="51:75">
      <c r="AY430" s="1184"/>
      <c r="AZ430" s="1189">
        <v>744</v>
      </c>
      <c r="BA430" s="1172">
        <v>13</v>
      </c>
      <c r="BB430" s="1188">
        <v>11.42</v>
      </c>
      <c r="BC430" s="1187">
        <v>6.4</v>
      </c>
      <c r="BD430" s="1172">
        <v>4000</v>
      </c>
      <c r="BE430" s="1172">
        <v>6000</v>
      </c>
      <c r="BF430" s="1172">
        <v>8000</v>
      </c>
      <c r="BG430" s="1172">
        <v>9000</v>
      </c>
      <c r="BH430" s="1172">
        <v>12000</v>
      </c>
      <c r="BI430" s="1172">
        <v>15000</v>
      </c>
      <c r="BJ430" s="1185" t="s">
        <v>1892</v>
      </c>
      <c r="BK430" s="1185"/>
      <c r="BL430" s="1185" t="s">
        <v>1390</v>
      </c>
      <c r="BM430" s="1185"/>
      <c r="BN430" s="1186"/>
      <c r="BO430" s="1185" t="s">
        <v>1980</v>
      </c>
      <c r="BP430" s="1185"/>
      <c r="BQ430" s="1185"/>
      <c r="BR430" s="1185"/>
      <c r="BS430" s="1185"/>
      <c r="BT430" s="1185"/>
      <c r="BU430" s="1185"/>
      <c r="BW430" s="1181"/>
    </row>
    <row r="431" spans="51:75">
      <c r="AY431" s="1184"/>
      <c r="AZ431" s="1189">
        <v>745</v>
      </c>
      <c r="BA431" s="1172">
        <v>13</v>
      </c>
      <c r="BB431" s="1188">
        <v>8.2200000000000006</v>
      </c>
      <c r="BC431" s="1187">
        <v>5.9</v>
      </c>
      <c r="BD431" s="1172">
        <v>4000</v>
      </c>
      <c r="BE431" s="1172">
        <v>6000</v>
      </c>
      <c r="BF431" s="1172">
        <v>8000</v>
      </c>
      <c r="BG431" s="1172">
        <v>9000</v>
      </c>
      <c r="BH431" s="1172">
        <v>12000</v>
      </c>
      <c r="BI431" s="1172">
        <v>15000</v>
      </c>
      <c r="BJ431" s="1185" t="s">
        <v>1892</v>
      </c>
      <c r="BK431" s="1185"/>
      <c r="BL431" s="1185" t="s">
        <v>1390</v>
      </c>
      <c r="BM431" s="1185"/>
      <c r="BN431" s="1186"/>
      <c r="BO431" s="1185" t="s">
        <v>1979</v>
      </c>
      <c r="BP431" s="1185"/>
      <c r="BQ431" s="1185"/>
      <c r="BR431" s="1185"/>
      <c r="BS431" s="1185"/>
      <c r="BT431" s="1185"/>
      <c r="BU431" s="1185"/>
      <c r="BW431" s="1181"/>
    </row>
    <row r="432" spans="51:75">
      <c r="AY432" s="1184"/>
      <c r="AZ432" s="1189">
        <v>746</v>
      </c>
      <c r="BA432" s="1172">
        <v>13</v>
      </c>
      <c r="BB432" s="1188">
        <v>8.2799999999999994</v>
      </c>
      <c r="BC432" s="1187">
        <v>6.4</v>
      </c>
      <c r="BD432" s="1172">
        <v>4000</v>
      </c>
      <c r="BE432" s="1172">
        <v>6000</v>
      </c>
      <c r="BF432" s="1172">
        <v>8000</v>
      </c>
      <c r="BG432" s="1172">
        <v>9000</v>
      </c>
      <c r="BH432" s="1172">
        <v>12000</v>
      </c>
      <c r="BI432" s="1172">
        <v>15000</v>
      </c>
      <c r="BJ432" s="1185" t="s">
        <v>1892</v>
      </c>
      <c r="BK432" s="1185"/>
      <c r="BL432" s="1185" t="s">
        <v>1390</v>
      </c>
      <c r="BM432" s="1185"/>
      <c r="BN432" s="1186"/>
      <c r="BO432" s="1185" t="s">
        <v>1978</v>
      </c>
      <c r="BP432" s="1185"/>
      <c r="BQ432" s="1185"/>
      <c r="BR432" s="1185"/>
      <c r="BS432" s="1185"/>
      <c r="BT432" s="1185"/>
      <c r="BU432" s="1185"/>
      <c r="BW432" s="1181"/>
    </row>
    <row r="433" spans="51:75">
      <c r="AY433" s="1184"/>
      <c r="AZ433" s="1189">
        <v>747</v>
      </c>
      <c r="BA433" s="1172">
        <v>13</v>
      </c>
      <c r="BB433" s="1188">
        <v>0.52</v>
      </c>
      <c r="BC433" s="1187">
        <v>6.4</v>
      </c>
      <c r="BD433" s="1172">
        <v>4000</v>
      </c>
      <c r="BE433" s="1172">
        <v>6000</v>
      </c>
      <c r="BF433" s="1172">
        <v>8000</v>
      </c>
      <c r="BG433" s="1172">
        <v>9000</v>
      </c>
      <c r="BH433" s="1172">
        <v>12000</v>
      </c>
      <c r="BI433" s="1172">
        <v>15000</v>
      </c>
      <c r="BJ433" s="1185" t="s">
        <v>1892</v>
      </c>
      <c r="BK433" s="1185"/>
      <c r="BL433" s="1185" t="s">
        <v>1390</v>
      </c>
      <c r="BM433" s="1185"/>
      <c r="BN433" s="1186"/>
      <c r="BO433" s="1185" t="s">
        <v>1977</v>
      </c>
      <c r="BP433" s="1185"/>
      <c r="BQ433" s="1185"/>
      <c r="BR433" s="1185"/>
      <c r="BS433" s="1185"/>
      <c r="BT433" s="1185"/>
      <c r="BU433" s="1185"/>
      <c r="BW433" s="1181"/>
    </row>
    <row r="434" spans="51:75">
      <c r="AY434" s="1184"/>
      <c r="AZ434" s="1189">
        <v>748</v>
      </c>
      <c r="BA434" s="1172">
        <v>13</v>
      </c>
      <c r="BB434" s="1188"/>
      <c r="BC434" s="1187"/>
      <c r="BD434" s="1172">
        <v>4000</v>
      </c>
      <c r="BE434" s="1172">
        <v>6000</v>
      </c>
      <c r="BF434" s="1172">
        <v>8000</v>
      </c>
      <c r="BG434" s="1172">
        <v>9000</v>
      </c>
      <c r="BH434" s="1172">
        <v>12000</v>
      </c>
      <c r="BI434" s="1172">
        <v>15000</v>
      </c>
      <c r="BJ434" s="1185"/>
      <c r="BK434" s="1185"/>
      <c r="BL434" s="1185"/>
      <c r="BM434" s="1185"/>
      <c r="BN434" s="1186">
        <v>0.65</v>
      </c>
      <c r="BO434" s="1185" t="s">
        <v>1976</v>
      </c>
      <c r="BP434" s="1185"/>
      <c r="BQ434" s="1185"/>
      <c r="BR434" s="1185"/>
      <c r="BS434" s="1185"/>
      <c r="BT434" s="1185"/>
      <c r="BU434" s="1185"/>
      <c r="BW434" s="1181"/>
    </row>
    <row r="435" spans="51:75">
      <c r="AY435" s="1184"/>
      <c r="AZ435" s="1189">
        <v>749</v>
      </c>
      <c r="BA435" s="1172">
        <v>0</v>
      </c>
      <c r="BB435" s="1188">
        <v>0.39</v>
      </c>
      <c r="BC435" s="1187">
        <v>6.3</v>
      </c>
      <c r="BD435" s="1172">
        <v>0</v>
      </c>
      <c r="BE435" s="1172">
        <v>0</v>
      </c>
      <c r="BF435" s="1172">
        <v>0</v>
      </c>
      <c r="BG435" s="1172">
        <v>0</v>
      </c>
      <c r="BH435" s="1172">
        <v>0</v>
      </c>
      <c r="BI435" s="1172">
        <v>0</v>
      </c>
      <c r="BJ435" s="1185" t="s">
        <v>1892</v>
      </c>
      <c r="BK435" s="1185"/>
      <c r="BL435" s="1185" t="s">
        <v>1390</v>
      </c>
      <c r="BM435" s="1185"/>
      <c r="BN435" s="1186"/>
      <c r="BO435" s="1185" t="s">
        <v>1975</v>
      </c>
      <c r="BP435" s="1185"/>
      <c r="BQ435" s="1185"/>
      <c r="BR435" s="1185"/>
      <c r="BS435" s="1185"/>
      <c r="BT435" s="1185"/>
      <c r="BU435" s="1185"/>
      <c r="BW435" s="1181"/>
    </row>
    <row r="436" spans="51:75">
      <c r="AY436" s="1184"/>
      <c r="AZ436" s="1189">
        <v>750</v>
      </c>
      <c r="BA436" s="1185">
        <v>16</v>
      </c>
      <c r="BB436" s="1188">
        <v>4.72</v>
      </c>
      <c r="BC436" s="1187">
        <v>6.9</v>
      </c>
      <c r="BD436" s="1172">
        <v>500</v>
      </c>
      <c r="BE436" s="1172">
        <v>750</v>
      </c>
      <c r="BF436" s="1172">
        <v>1000</v>
      </c>
      <c r="BG436" s="1172">
        <v>7000</v>
      </c>
      <c r="BH436" s="1172">
        <v>1500</v>
      </c>
      <c r="BI436" s="1172">
        <v>2000</v>
      </c>
      <c r="BJ436" s="1185" t="s">
        <v>1892</v>
      </c>
      <c r="BK436" s="1185"/>
      <c r="BL436" s="1185" t="s">
        <v>1390</v>
      </c>
      <c r="BM436" s="1185"/>
      <c r="BN436" s="1186"/>
      <c r="BO436" s="1185" t="s">
        <v>1974</v>
      </c>
      <c r="BP436" s="1185"/>
      <c r="BQ436" s="1185"/>
      <c r="BR436" s="1185"/>
      <c r="BS436" s="1185"/>
      <c r="BT436" s="1185"/>
      <c r="BU436" s="1185"/>
      <c r="BW436" s="1181"/>
    </row>
    <row r="437" spans="51:75">
      <c r="AY437" s="1184"/>
      <c r="AZ437" s="1189">
        <v>751</v>
      </c>
      <c r="BA437" s="1172">
        <v>0</v>
      </c>
      <c r="BB437" s="1188">
        <v>0.52</v>
      </c>
      <c r="BC437" s="1187">
        <v>6.4</v>
      </c>
      <c r="BD437" s="1172">
        <v>0</v>
      </c>
      <c r="BE437" s="1172">
        <v>0</v>
      </c>
      <c r="BF437" s="1172">
        <v>0</v>
      </c>
      <c r="BG437" s="1172">
        <v>0</v>
      </c>
      <c r="BH437" s="1172">
        <v>0</v>
      </c>
      <c r="BI437" s="1172">
        <v>0</v>
      </c>
      <c r="BJ437" s="1185" t="s">
        <v>1382</v>
      </c>
      <c r="BK437" s="1185"/>
      <c r="BL437" s="1185"/>
      <c r="BM437" s="1185"/>
      <c r="BN437" s="1186"/>
      <c r="BO437" s="1185" t="s">
        <v>1973</v>
      </c>
      <c r="BP437" s="1185"/>
      <c r="BQ437" s="1185"/>
      <c r="BR437" s="1185"/>
      <c r="BS437" s="1185"/>
      <c r="BT437" s="1185"/>
      <c r="BU437" s="1185"/>
      <c r="BW437" s="1181"/>
    </row>
    <row r="438" spans="51:75">
      <c r="AY438" s="1184"/>
      <c r="AZ438" s="1189">
        <v>752</v>
      </c>
      <c r="BA438" s="1185">
        <v>16</v>
      </c>
      <c r="BB438" s="1188">
        <v>0.52</v>
      </c>
      <c r="BC438" s="1187">
        <v>6.4</v>
      </c>
      <c r="BD438" s="1172">
        <v>500</v>
      </c>
      <c r="BE438" s="1172">
        <v>1000</v>
      </c>
      <c r="BF438" s="1172">
        <v>1500</v>
      </c>
      <c r="BG438" s="1172">
        <v>2000</v>
      </c>
      <c r="BH438" s="1172">
        <v>2500</v>
      </c>
      <c r="BI438" s="1172">
        <v>3000</v>
      </c>
      <c r="BJ438" s="1185" t="s">
        <v>1892</v>
      </c>
      <c r="BK438" s="1185"/>
      <c r="BL438" s="1185" t="s">
        <v>1390</v>
      </c>
      <c r="BM438" s="1185"/>
      <c r="BN438" s="1186"/>
      <c r="BO438" s="1185" t="s">
        <v>1972</v>
      </c>
      <c r="BP438" s="1185"/>
      <c r="BQ438" s="1185"/>
      <c r="BR438" s="1185"/>
      <c r="BS438" s="1185"/>
      <c r="BT438" s="1185"/>
      <c r="BU438" s="1185"/>
      <c r="BW438" s="1181"/>
    </row>
    <row r="439" spans="51:75">
      <c r="AY439" s="1184"/>
      <c r="AZ439" s="1189">
        <v>753</v>
      </c>
      <c r="BA439" s="1172">
        <v>0</v>
      </c>
      <c r="BB439" s="1188">
        <v>13.17</v>
      </c>
      <c r="BC439" s="1187">
        <v>5.6</v>
      </c>
      <c r="BD439" s="1172">
        <v>0</v>
      </c>
      <c r="BE439" s="1172">
        <v>0</v>
      </c>
      <c r="BF439" s="1172">
        <v>0</v>
      </c>
      <c r="BG439" s="1172">
        <v>0</v>
      </c>
      <c r="BH439" s="1172">
        <v>0</v>
      </c>
      <c r="BI439" s="1172">
        <v>0</v>
      </c>
      <c r="BJ439" s="1185" t="s">
        <v>1348</v>
      </c>
      <c r="BK439" s="1185"/>
      <c r="BL439" s="1185"/>
      <c r="BM439" s="1185"/>
      <c r="BN439" s="1186"/>
      <c r="BO439" s="1185" t="s">
        <v>1971</v>
      </c>
      <c r="BP439" s="1185"/>
      <c r="BQ439" s="1185"/>
      <c r="BR439" s="1185"/>
      <c r="BS439" s="1185"/>
      <c r="BT439" s="1185"/>
      <c r="BU439" s="1185"/>
      <c r="BW439" s="1181"/>
    </row>
    <row r="440" spans="51:75">
      <c r="AY440" s="1184"/>
      <c r="AZ440" s="1189">
        <v>754</v>
      </c>
      <c r="BA440" s="1172">
        <v>0</v>
      </c>
      <c r="BB440" s="1188">
        <v>13.17</v>
      </c>
      <c r="BC440" s="1187">
        <v>5.6</v>
      </c>
      <c r="BD440" s="1172">
        <v>0</v>
      </c>
      <c r="BE440" s="1172">
        <v>0</v>
      </c>
      <c r="BF440" s="1172">
        <v>0</v>
      </c>
      <c r="BG440" s="1172">
        <v>0</v>
      </c>
      <c r="BH440" s="1172">
        <v>0</v>
      </c>
      <c r="BI440" s="1172">
        <v>0</v>
      </c>
      <c r="BJ440" s="1185" t="s">
        <v>1348</v>
      </c>
      <c r="BK440" s="1185"/>
      <c r="BL440" s="1185"/>
      <c r="BM440" s="1185"/>
      <c r="BN440" s="1186"/>
      <c r="BO440" s="1185" t="s">
        <v>1970</v>
      </c>
      <c r="BP440" s="1172"/>
      <c r="BQ440" s="1185"/>
      <c r="BR440" s="1185"/>
      <c r="BS440" s="1185"/>
      <c r="BT440" s="1185"/>
      <c r="BU440" s="1185"/>
      <c r="BW440" s="1181"/>
    </row>
    <row r="441" spans="51:75">
      <c r="AY441" s="1184"/>
      <c r="AZ441" s="1189">
        <v>755</v>
      </c>
      <c r="BA441" s="1185">
        <v>11</v>
      </c>
      <c r="BB441" s="1188">
        <v>20</v>
      </c>
      <c r="BC441" s="1187">
        <v>4.9000000000000004</v>
      </c>
      <c r="BD441" s="1172">
        <v>3000</v>
      </c>
      <c r="BE441" s="1172">
        <v>4000</v>
      </c>
      <c r="BF441" s="1172">
        <v>5000</v>
      </c>
      <c r="BG441" s="1172">
        <v>7000</v>
      </c>
      <c r="BH441" s="1172">
        <v>8000</v>
      </c>
      <c r="BI441" s="1172">
        <v>9000</v>
      </c>
      <c r="BJ441" s="1185" t="s">
        <v>1348</v>
      </c>
      <c r="BK441" s="1185"/>
      <c r="BL441" s="1185" t="s">
        <v>1390</v>
      </c>
      <c r="BM441" s="1185"/>
      <c r="BN441" s="1186"/>
      <c r="BO441" s="1185" t="s">
        <v>1969</v>
      </c>
      <c r="BP441" s="1185"/>
      <c r="BQ441" s="1185"/>
      <c r="BR441" s="1185"/>
      <c r="BS441" s="1185"/>
      <c r="BT441" s="1185"/>
      <c r="BU441" s="1185"/>
      <c r="BW441" s="1181"/>
    </row>
    <row r="442" spans="51:75">
      <c r="AY442" s="1184"/>
      <c r="AZ442" s="1189">
        <v>756</v>
      </c>
      <c r="BA442" s="1172">
        <v>0</v>
      </c>
      <c r="BB442" s="1188">
        <v>4.91</v>
      </c>
      <c r="BC442" s="1187">
        <v>6.2</v>
      </c>
      <c r="BD442" s="1172">
        <v>0</v>
      </c>
      <c r="BE442" s="1172">
        <v>0</v>
      </c>
      <c r="BF442" s="1172">
        <v>0</v>
      </c>
      <c r="BG442" s="1172">
        <v>0</v>
      </c>
      <c r="BH442" s="1172">
        <v>0</v>
      </c>
      <c r="BI442" s="1172">
        <v>0</v>
      </c>
      <c r="BJ442" s="1185" t="s">
        <v>1348</v>
      </c>
      <c r="BK442" s="1185"/>
      <c r="BL442" s="1185"/>
      <c r="BM442" s="1185"/>
      <c r="BN442" s="1186"/>
      <c r="BO442" s="1185" t="s">
        <v>1968</v>
      </c>
      <c r="BP442" s="1185"/>
      <c r="BQ442" s="1185"/>
      <c r="BR442" s="1185"/>
      <c r="BS442" s="1185"/>
      <c r="BT442" s="1185"/>
      <c r="BU442" s="1185"/>
      <c r="BW442" s="1181"/>
    </row>
    <row r="443" spans="51:75">
      <c r="AY443" s="1184"/>
      <c r="AZ443" s="1189">
        <v>801</v>
      </c>
      <c r="BA443" s="1172">
        <v>2</v>
      </c>
      <c r="BB443" s="1188">
        <v>1.51</v>
      </c>
      <c r="BC443" s="1187">
        <v>7.1</v>
      </c>
      <c r="BD443" s="1172">
        <v>2000</v>
      </c>
      <c r="BE443" s="1172">
        <v>3000</v>
      </c>
      <c r="BF443" s="1172">
        <v>4000</v>
      </c>
      <c r="BG443" s="1172">
        <v>5000</v>
      </c>
      <c r="BH443" s="1172">
        <v>6500</v>
      </c>
      <c r="BI443" s="1172">
        <v>8000</v>
      </c>
      <c r="BJ443" s="1185" t="s">
        <v>1348</v>
      </c>
      <c r="BK443" s="1185"/>
      <c r="BL443" s="1185" t="s">
        <v>1333</v>
      </c>
      <c r="BM443" s="1185"/>
      <c r="BN443" s="1186"/>
      <c r="BO443" s="1185" t="s">
        <v>1967</v>
      </c>
      <c r="BP443" s="1185"/>
      <c r="BQ443" s="1185"/>
      <c r="BR443" s="1185"/>
      <c r="BS443" s="1185"/>
      <c r="BT443" s="1185"/>
      <c r="BU443" s="1185"/>
      <c r="BW443" s="1181"/>
    </row>
    <row r="444" spans="51:75">
      <c r="AY444" s="1184"/>
      <c r="AZ444" s="1189">
        <v>802</v>
      </c>
      <c r="BA444" s="1172">
        <v>2</v>
      </c>
      <c r="BB444" s="1188">
        <v>1.51</v>
      </c>
      <c r="BC444" s="1187">
        <v>7.1</v>
      </c>
      <c r="BD444" s="1172">
        <v>2000</v>
      </c>
      <c r="BE444" s="1172">
        <v>3000</v>
      </c>
      <c r="BF444" s="1172">
        <v>4000</v>
      </c>
      <c r="BG444" s="1172">
        <v>5000</v>
      </c>
      <c r="BH444" s="1172">
        <v>6500</v>
      </c>
      <c r="BI444" s="1172">
        <v>8000</v>
      </c>
      <c r="BJ444" s="1185" t="s">
        <v>1348</v>
      </c>
      <c r="BK444" s="1185"/>
      <c r="BL444" s="1185" t="s">
        <v>1333</v>
      </c>
      <c r="BM444" s="1185"/>
      <c r="BN444" s="1186"/>
      <c r="BO444" s="1185" t="s">
        <v>1966</v>
      </c>
      <c r="BP444" s="1172"/>
      <c r="BQ444" s="1185"/>
      <c r="BR444" s="1185"/>
      <c r="BS444" s="1185"/>
      <c r="BT444" s="1185"/>
      <c r="BU444" s="1185"/>
      <c r="BW444" s="1181"/>
    </row>
    <row r="445" spans="51:75">
      <c r="AY445" s="1184"/>
      <c r="AZ445" s="1189">
        <v>804</v>
      </c>
      <c r="BA445" s="1172">
        <v>13</v>
      </c>
      <c r="BB445" s="1188">
        <v>2.84</v>
      </c>
      <c r="BC445" s="1187">
        <v>7.4</v>
      </c>
      <c r="BD445" s="1172">
        <v>4000</v>
      </c>
      <c r="BE445" s="1172">
        <v>6000</v>
      </c>
      <c r="BF445" s="1172">
        <v>8000</v>
      </c>
      <c r="BG445" s="1172">
        <v>9000</v>
      </c>
      <c r="BH445" s="1172">
        <v>12000</v>
      </c>
      <c r="BI445" s="1172">
        <v>15000</v>
      </c>
      <c r="BJ445" s="1185" t="s">
        <v>1348</v>
      </c>
      <c r="BK445" s="1185"/>
      <c r="BL445" s="1185" t="s">
        <v>1333</v>
      </c>
      <c r="BM445" s="1185"/>
      <c r="BN445" s="1186"/>
      <c r="BO445" s="1185" t="s">
        <v>1965</v>
      </c>
      <c r="BP445" s="1185"/>
      <c r="BQ445" s="1185"/>
      <c r="BR445" s="1185"/>
      <c r="BS445" s="1185"/>
      <c r="BT445" s="1185"/>
      <c r="BU445" s="1185"/>
      <c r="BW445" s="1181"/>
    </row>
    <row r="446" spans="51:75">
      <c r="AY446" s="1184"/>
      <c r="AZ446" s="1189">
        <v>805</v>
      </c>
      <c r="BA446" s="1185">
        <v>17</v>
      </c>
      <c r="BB446" s="1188">
        <v>2.36</v>
      </c>
      <c r="BC446" s="1187">
        <v>7.2</v>
      </c>
      <c r="BD446" s="1172">
        <v>0</v>
      </c>
      <c r="BE446" s="1172">
        <v>0</v>
      </c>
      <c r="BF446" s="1172">
        <v>0</v>
      </c>
      <c r="BG446" s="1172">
        <v>0</v>
      </c>
      <c r="BH446" s="1172">
        <v>0</v>
      </c>
      <c r="BI446" s="1172">
        <v>0</v>
      </c>
      <c r="BJ446" s="1185" t="s">
        <v>1348</v>
      </c>
      <c r="BK446" s="1185"/>
      <c r="BL446" s="1185" t="s">
        <v>1333</v>
      </c>
      <c r="BM446" s="1185"/>
      <c r="BN446" s="1186"/>
      <c r="BO446" s="1185" t="s">
        <v>1964</v>
      </c>
      <c r="BP446" s="1185"/>
      <c r="BQ446" s="1185"/>
      <c r="BR446" s="1185"/>
      <c r="BS446" s="1185"/>
      <c r="BT446" s="1185"/>
      <c r="BU446" s="1185"/>
      <c r="BW446" s="1181"/>
    </row>
    <row r="447" spans="51:75">
      <c r="AY447" s="1184"/>
      <c r="AZ447" s="1189">
        <v>806</v>
      </c>
      <c r="BA447" s="1185">
        <v>17</v>
      </c>
      <c r="BB447" s="1188">
        <v>0.71</v>
      </c>
      <c r="BC447" s="1187">
        <v>8</v>
      </c>
      <c r="BD447" s="1172">
        <v>0</v>
      </c>
      <c r="BE447" s="1172">
        <v>0</v>
      </c>
      <c r="BF447" s="1172">
        <v>0</v>
      </c>
      <c r="BG447" s="1172">
        <v>0</v>
      </c>
      <c r="BH447" s="1172">
        <v>0</v>
      </c>
      <c r="BI447" s="1172">
        <v>0</v>
      </c>
      <c r="BJ447" s="1185" t="s">
        <v>1348</v>
      </c>
      <c r="BK447" s="1185"/>
      <c r="BL447" s="1185" t="s">
        <v>1333</v>
      </c>
      <c r="BM447" s="1185"/>
      <c r="BN447" s="1186"/>
      <c r="BO447" s="1185" t="s">
        <v>1963</v>
      </c>
      <c r="BP447" s="1185"/>
      <c r="BQ447" s="1185"/>
      <c r="BR447" s="1185"/>
      <c r="BS447" s="1185"/>
      <c r="BT447" s="1185"/>
      <c r="BU447" s="1185"/>
      <c r="BW447" s="1181"/>
    </row>
    <row r="448" spans="51:75">
      <c r="AY448" s="1184"/>
      <c r="AZ448" s="1189">
        <v>807</v>
      </c>
      <c r="BA448" s="1185">
        <v>17</v>
      </c>
      <c r="BB448" s="1188">
        <v>0.39</v>
      </c>
      <c r="BC448" s="1187">
        <v>8.1</v>
      </c>
      <c r="BD448" s="1172">
        <v>0</v>
      </c>
      <c r="BE448" s="1172">
        <v>0</v>
      </c>
      <c r="BF448" s="1172">
        <v>0</v>
      </c>
      <c r="BG448" s="1172">
        <v>0</v>
      </c>
      <c r="BH448" s="1172">
        <v>0</v>
      </c>
      <c r="BI448" s="1172">
        <v>0</v>
      </c>
      <c r="BJ448" s="1185" t="s">
        <v>1348</v>
      </c>
      <c r="BK448" s="1185"/>
      <c r="BL448" s="1185" t="s">
        <v>1333</v>
      </c>
      <c r="BM448" s="1185"/>
      <c r="BN448" s="1186"/>
      <c r="BO448" s="1185" t="s">
        <v>1962</v>
      </c>
      <c r="BP448" s="1185"/>
      <c r="BQ448" s="1185"/>
      <c r="BR448" s="1185"/>
      <c r="BS448" s="1185"/>
      <c r="BT448" s="1185"/>
      <c r="BU448" s="1185"/>
      <c r="BW448" s="1181"/>
    </row>
    <row r="449" spans="51:75">
      <c r="AY449" s="1184"/>
      <c r="AZ449" s="1189">
        <v>808</v>
      </c>
      <c r="BA449" s="1172">
        <v>13</v>
      </c>
      <c r="BB449" s="1188">
        <v>2.36</v>
      </c>
      <c r="BC449" s="1187">
        <v>7.2</v>
      </c>
      <c r="BD449" s="1172">
        <v>4000</v>
      </c>
      <c r="BE449" s="1172">
        <v>6000</v>
      </c>
      <c r="BF449" s="1172">
        <v>8000</v>
      </c>
      <c r="BG449" s="1172">
        <v>9000</v>
      </c>
      <c r="BH449" s="1172">
        <v>12000</v>
      </c>
      <c r="BI449" s="1172">
        <v>15000</v>
      </c>
      <c r="BJ449" s="1185" t="s">
        <v>1950</v>
      </c>
      <c r="BK449" s="1185"/>
      <c r="BL449" s="1185" t="s">
        <v>1333</v>
      </c>
      <c r="BM449" s="1185"/>
      <c r="BN449" s="1186"/>
      <c r="BO449" s="1185" t="s">
        <v>1961</v>
      </c>
      <c r="BP449" s="1185"/>
      <c r="BQ449" s="1185"/>
      <c r="BR449" s="1185"/>
      <c r="BS449" s="1185"/>
      <c r="BT449" s="1185"/>
      <c r="BU449" s="1185"/>
      <c r="BW449" s="1181"/>
    </row>
    <row r="450" spans="51:75">
      <c r="AY450" s="1184"/>
      <c r="AZ450" s="1189">
        <v>809</v>
      </c>
      <c r="BA450" s="1185">
        <v>17</v>
      </c>
      <c r="BB450" s="1188">
        <v>2.84</v>
      </c>
      <c r="BC450" s="1187">
        <v>7.4</v>
      </c>
      <c r="BD450" s="1172">
        <v>0</v>
      </c>
      <c r="BE450" s="1172">
        <v>0</v>
      </c>
      <c r="BF450" s="1172">
        <v>0</v>
      </c>
      <c r="BG450" s="1172">
        <v>0</v>
      </c>
      <c r="BH450" s="1172">
        <v>0</v>
      </c>
      <c r="BI450" s="1172">
        <v>0</v>
      </c>
      <c r="BJ450" s="1185" t="s">
        <v>1348</v>
      </c>
      <c r="BK450" s="1185"/>
      <c r="BL450" s="1185" t="s">
        <v>1333</v>
      </c>
      <c r="BM450" s="1185"/>
      <c r="BN450" s="1186"/>
      <c r="BO450" s="1185" t="s">
        <v>1960</v>
      </c>
      <c r="BP450" s="1185"/>
      <c r="BQ450" s="1185"/>
      <c r="BR450" s="1185"/>
      <c r="BS450" s="1185"/>
      <c r="BT450" s="1185"/>
      <c r="BU450" s="1185"/>
      <c r="BW450" s="1181"/>
    </row>
    <row r="451" spans="51:75">
      <c r="AY451" s="1184"/>
      <c r="AZ451" s="1189">
        <v>811</v>
      </c>
      <c r="BA451" s="1185">
        <v>17</v>
      </c>
      <c r="BB451" s="1188">
        <v>2.84</v>
      </c>
      <c r="BC451" s="1187">
        <v>7.4</v>
      </c>
      <c r="BD451" s="1172">
        <v>0</v>
      </c>
      <c r="BE451" s="1172">
        <v>0</v>
      </c>
      <c r="BF451" s="1172">
        <v>0</v>
      </c>
      <c r="BG451" s="1172">
        <v>0</v>
      </c>
      <c r="BH451" s="1172">
        <v>0</v>
      </c>
      <c r="BI451" s="1172">
        <v>0</v>
      </c>
      <c r="BJ451" s="1185" t="s">
        <v>1348</v>
      </c>
      <c r="BK451" s="1185"/>
      <c r="BL451" s="1185" t="s">
        <v>1333</v>
      </c>
      <c r="BM451" s="1185"/>
      <c r="BN451" s="1186"/>
      <c r="BO451" s="1185" t="s">
        <v>1959</v>
      </c>
      <c r="BP451" s="1185"/>
      <c r="BQ451" s="1185"/>
      <c r="BR451" s="1185"/>
      <c r="BS451" s="1185"/>
      <c r="BT451" s="1185"/>
      <c r="BU451" s="1185"/>
      <c r="BW451" s="1181"/>
    </row>
    <row r="452" spans="51:75">
      <c r="AY452" s="1184"/>
      <c r="AZ452" s="1189">
        <v>812</v>
      </c>
      <c r="BA452" s="1185">
        <v>17</v>
      </c>
      <c r="BB452" s="1188">
        <v>2.36</v>
      </c>
      <c r="BC452" s="1187">
        <v>7.2</v>
      </c>
      <c r="BD452" s="1172">
        <v>0</v>
      </c>
      <c r="BE452" s="1172">
        <v>0</v>
      </c>
      <c r="BF452" s="1172">
        <v>0</v>
      </c>
      <c r="BG452" s="1172">
        <v>0</v>
      </c>
      <c r="BH452" s="1172">
        <v>0</v>
      </c>
      <c r="BI452" s="1172">
        <v>0</v>
      </c>
      <c r="BJ452" s="1185" t="s">
        <v>1950</v>
      </c>
      <c r="BK452" s="1185"/>
      <c r="BL452" s="1185" t="s">
        <v>1333</v>
      </c>
      <c r="BM452" s="1185"/>
      <c r="BN452" s="1186"/>
      <c r="BO452" s="1185" t="s">
        <v>1958</v>
      </c>
      <c r="BP452" s="1185"/>
      <c r="BQ452" s="1185"/>
      <c r="BR452" s="1185"/>
      <c r="BS452" s="1185"/>
      <c r="BT452" s="1185"/>
      <c r="BU452" s="1185"/>
      <c r="BW452" s="1181"/>
    </row>
    <row r="453" spans="51:75">
      <c r="AY453" s="1184"/>
      <c r="AZ453" s="1189">
        <v>813</v>
      </c>
      <c r="BA453" s="1185">
        <v>17</v>
      </c>
      <c r="BB453" s="1188">
        <v>1.1100000000000001</v>
      </c>
      <c r="BC453" s="1187">
        <v>7.9</v>
      </c>
      <c r="BD453" s="1172">
        <v>0</v>
      </c>
      <c r="BE453" s="1172">
        <v>0</v>
      </c>
      <c r="BF453" s="1172">
        <v>0</v>
      </c>
      <c r="BG453" s="1172">
        <v>0</v>
      </c>
      <c r="BH453" s="1172">
        <v>0</v>
      </c>
      <c r="BI453" s="1172">
        <v>0</v>
      </c>
      <c r="BJ453" s="1185" t="s">
        <v>1348</v>
      </c>
      <c r="BK453" s="1185"/>
      <c r="BL453" s="1185" t="s">
        <v>1333</v>
      </c>
      <c r="BM453" s="1185"/>
      <c r="BN453" s="1186"/>
      <c r="BO453" s="1185" t="s">
        <v>1957</v>
      </c>
      <c r="BP453" s="1185"/>
      <c r="BQ453" s="1185"/>
      <c r="BR453" s="1185"/>
      <c r="BS453" s="1185"/>
      <c r="BT453" s="1185"/>
      <c r="BU453" s="1185"/>
      <c r="BW453" s="1181"/>
    </row>
    <row r="454" spans="51:75">
      <c r="AY454" s="1184"/>
      <c r="AZ454" s="1189">
        <v>814</v>
      </c>
      <c r="BA454" s="1185">
        <v>17</v>
      </c>
      <c r="BB454" s="1188">
        <v>6.03</v>
      </c>
      <c r="BC454" s="1187">
        <v>6.5</v>
      </c>
      <c r="BD454" s="1172">
        <v>0</v>
      </c>
      <c r="BE454" s="1172">
        <v>0</v>
      </c>
      <c r="BF454" s="1172">
        <v>0</v>
      </c>
      <c r="BG454" s="1172">
        <v>0</v>
      </c>
      <c r="BH454" s="1172">
        <v>0</v>
      </c>
      <c r="BI454" s="1172">
        <v>0</v>
      </c>
      <c r="BJ454" s="1185" t="s">
        <v>1892</v>
      </c>
      <c r="BK454" s="1185"/>
      <c r="BL454" s="1185" t="s">
        <v>1333</v>
      </c>
      <c r="BM454" s="1185"/>
      <c r="BN454" s="1186"/>
      <c r="BO454" s="1185" t="s">
        <v>1956</v>
      </c>
      <c r="BP454" s="1185"/>
      <c r="BQ454" s="1185"/>
      <c r="BR454" s="1185"/>
      <c r="BS454" s="1185"/>
      <c r="BT454" s="1185"/>
      <c r="BU454" s="1185"/>
      <c r="BW454" s="1181"/>
    </row>
    <row r="455" spans="51:75">
      <c r="AY455" s="1184"/>
      <c r="AZ455" s="1189">
        <v>815</v>
      </c>
      <c r="BA455" s="1185">
        <v>16</v>
      </c>
      <c r="BB455" s="1188">
        <v>1.98</v>
      </c>
      <c r="BC455" s="1187">
        <v>7.3</v>
      </c>
      <c r="BD455" s="1172">
        <v>500</v>
      </c>
      <c r="BE455" s="1172">
        <v>750</v>
      </c>
      <c r="BF455" s="1172">
        <v>1000</v>
      </c>
      <c r="BG455" s="1172">
        <v>7000</v>
      </c>
      <c r="BH455" s="1172">
        <v>1500</v>
      </c>
      <c r="BI455" s="1172">
        <v>2000</v>
      </c>
      <c r="BJ455" s="1185" t="s">
        <v>1892</v>
      </c>
      <c r="BK455" s="1185"/>
      <c r="BL455" s="1185" t="s">
        <v>1333</v>
      </c>
      <c r="BM455" s="1185"/>
      <c r="BN455" s="1186"/>
      <c r="BO455" s="1185" t="s">
        <v>1955</v>
      </c>
      <c r="BP455" s="1185"/>
      <c r="BQ455" s="1185"/>
      <c r="BR455" s="1185"/>
      <c r="BS455" s="1185"/>
      <c r="BT455" s="1185"/>
      <c r="BU455" s="1185"/>
      <c r="BW455" s="1181"/>
    </row>
    <row r="456" spans="51:75">
      <c r="AY456" s="1184"/>
      <c r="AZ456" s="1189">
        <v>816</v>
      </c>
      <c r="BA456" s="1185">
        <v>17</v>
      </c>
      <c r="BB456" s="1188">
        <v>2.36</v>
      </c>
      <c r="BC456" s="1187">
        <v>7.2</v>
      </c>
      <c r="BD456" s="1172">
        <v>0</v>
      </c>
      <c r="BE456" s="1172">
        <v>0</v>
      </c>
      <c r="BF456" s="1172">
        <v>0</v>
      </c>
      <c r="BG456" s="1172">
        <v>0</v>
      </c>
      <c r="BH456" s="1172">
        <v>0</v>
      </c>
      <c r="BI456" s="1172">
        <v>0</v>
      </c>
      <c r="BJ456" s="1185" t="s">
        <v>1950</v>
      </c>
      <c r="BK456" s="1185"/>
      <c r="BL456" s="1185" t="s">
        <v>1333</v>
      </c>
      <c r="BM456" s="1185"/>
      <c r="BN456" s="1186"/>
      <c r="BO456" s="1185" t="s">
        <v>1954</v>
      </c>
      <c r="BP456" s="1185"/>
      <c r="BQ456" s="1185"/>
      <c r="BR456" s="1185"/>
      <c r="BS456" s="1185"/>
      <c r="BT456" s="1185"/>
      <c r="BU456" s="1185"/>
      <c r="BW456" s="1181"/>
    </row>
    <row r="457" spans="51:75">
      <c r="AY457" s="1184"/>
      <c r="AZ457" s="1189">
        <v>817</v>
      </c>
      <c r="BA457" s="1185">
        <v>17</v>
      </c>
      <c r="BB457" s="1188">
        <v>2.36</v>
      </c>
      <c r="BC457" s="1187">
        <v>7.2</v>
      </c>
      <c r="BD457" s="1172">
        <v>0</v>
      </c>
      <c r="BE457" s="1172">
        <v>0</v>
      </c>
      <c r="BF457" s="1172">
        <v>0</v>
      </c>
      <c r="BG457" s="1172">
        <v>0</v>
      </c>
      <c r="BH457" s="1172">
        <v>0</v>
      </c>
      <c r="BI457" s="1172">
        <v>0</v>
      </c>
      <c r="BJ457" s="1185" t="s">
        <v>1950</v>
      </c>
      <c r="BK457" s="1185"/>
      <c r="BL457" s="1185" t="s">
        <v>1333</v>
      </c>
      <c r="BM457" s="1185"/>
      <c r="BN457" s="1186"/>
      <c r="BO457" s="1185" t="s">
        <v>1953</v>
      </c>
      <c r="BP457" s="1185"/>
      <c r="BQ457" s="1185"/>
      <c r="BR457" s="1185"/>
      <c r="BS457" s="1185"/>
      <c r="BT457" s="1185"/>
      <c r="BU457" s="1185"/>
      <c r="BW457" s="1181"/>
    </row>
    <row r="458" spans="51:75">
      <c r="AY458" s="1184"/>
      <c r="AZ458" s="1189">
        <v>818</v>
      </c>
      <c r="BA458" s="1172">
        <v>13</v>
      </c>
      <c r="BB458" s="1188">
        <v>2.67</v>
      </c>
      <c r="BC458" s="1187">
        <v>7.3</v>
      </c>
      <c r="BD458" s="1172">
        <v>4000</v>
      </c>
      <c r="BE458" s="1172">
        <v>6000</v>
      </c>
      <c r="BF458" s="1172">
        <v>8000</v>
      </c>
      <c r="BG458" s="1172">
        <v>9000</v>
      </c>
      <c r="BH458" s="1172">
        <v>12000</v>
      </c>
      <c r="BI458" s="1172">
        <v>15000</v>
      </c>
      <c r="BJ458" s="1185" t="s">
        <v>1892</v>
      </c>
      <c r="BK458" s="1185"/>
      <c r="BL458" s="1185" t="s">
        <v>1333</v>
      </c>
      <c r="BM458" s="1185"/>
      <c r="BN458" s="1186"/>
      <c r="BO458" s="1185" t="s">
        <v>1952</v>
      </c>
      <c r="BP458" s="1185"/>
      <c r="BQ458" s="1185"/>
      <c r="BR458" s="1185"/>
      <c r="BS458" s="1185"/>
      <c r="BT458" s="1185"/>
      <c r="BU458" s="1185"/>
      <c r="BW458" s="1181"/>
    </row>
    <row r="459" spans="51:75">
      <c r="AY459" s="1184"/>
      <c r="AZ459" s="1189">
        <v>820</v>
      </c>
      <c r="BA459" s="1172">
        <v>13</v>
      </c>
      <c r="BB459" s="1188">
        <v>2.67</v>
      </c>
      <c r="BC459" s="1187">
        <v>7.3</v>
      </c>
      <c r="BD459" s="1172">
        <v>4000</v>
      </c>
      <c r="BE459" s="1172">
        <v>6000</v>
      </c>
      <c r="BF459" s="1172">
        <v>8000</v>
      </c>
      <c r="BG459" s="1172">
        <v>9000</v>
      </c>
      <c r="BH459" s="1172">
        <v>12000</v>
      </c>
      <c r="BI459" s="1172">
        <v>15000</v>
      </c>
      <c r="BJ459" s="1185" t="s">
        <v>1892</v>
      </c>
      <c r="BK459" s="1185"/>
      <c r="BL459" s="1185" t="s">
        <v>1333</v>
      </c>
      <c r="BM459" s="1185"/>
      <c r="BN459" s="1186"/>
      <c r="BO459" s="1185" t="s">
        <v>1951</v>
      </c>
      <c r="BP459" s="1185"/>
      <c r="BQ459" s="1185"/>
      <c r="BR459" s="1185"/>
      <c r="BS459" s="1185"/>
      <c r="BT459" s="1185"/>
      <c r="BU459" s="1185"/>
      <c r="BW459" s="1181"/>
    </row>
    <row r="460" spans="51:75">
      <c r="AY460" s="1184"/>
      <c r="AZ460" s="1189">
        <v>821</v>
      </c>
      <c r="BA460" s="1185">
        <v>17</v>
      </c>
      <c r="BB460" s="1188">
        <v>2.36</v>
      </c>
      <c r="BC460" s="1187">
        <v>7.2</v>
      </c>
      <c r="BD460" s="1172">
        <v>0</v>
      </c>
      <c r="BE460" s="1172">
        <v>0</v>
      </c>
      <c r="BF460" s="1172">
        <v>0</v>
      </c>
      <c r="BG460" s="1172">
        <v>0</v>
      </c>
      <c r="BH460" s="1172">
        <v>0</v>
      </c>
      <c r="BI460" s="1172">
        <v>0</v>
      </c>
      <c r="BJ460" s="1185" t="s">
        <v>1950</v>
      </c>
      <c r="BK460" s="1185"/>
      <c r="BL460" s="1185" t="s">
        <v>1333</v>
      </c>
      <c r="BM460" s="1185"/>
      <c r="BN460" s="1186"/>
      <c r="BO460" s="1185" t="s">
        <v>1949</v>
      </c>
      <c r="BP460" s="1185"/>
      <c r="BQ460" s="1185"/>
      <c r="BR460" s="1185"/>
      <c r="BS460" s="1185"/>
      <c r="BT460" s="1185"/>
      <c r="BU460" s="1185"/>
      <c r="BW460" s="1181"/>
    </row>
    <row r="461" spans="51:75">
      <c r="AY461" s="1184"/>
      <c r="AZ461" s="1189">
        <v>822</v>
      </c>
      <c r="BA461" s="1185">
        <v>16</v>
      </c>
      <c r="BB461" s="1188">
        <v>2.67</v>
      </c>
      <c r="BC461" s="1187">
        <v>7.3</v>
      </c>
      <c r="BD461" s="1172">
        <v>500</v>
      </c>
      <c r="BE461" s="1172">
        <v>750</v>
      </c>
      <c r="BF461" s="1172">
        <v>1000</v>
      </c>
      <c r="BG461" s="1172">
        <v>7000</v>
      </c>
      <c r="BH461" s="1172">
        <v>1500</v>
      </c>
      <c r="BI461" s="1172">
        <v>2000</v>
      </c>
      <c r="BJ461" s="1185" t="s">
        <v>1892</v>
      </c>
      <c r="BK461" s="1185"/>
      <c r="BL461" s="1185" t="s">
        <v>1333</v>
      </c>
      <c r="BM461" s="1185"/>
      <c r="BN461" s="1186"/>
      <c r="BO461" s="1185" t="s">
        <v>1948</v>
      </c>
      <c r="BP461" s="1185"/>
      <c r="BQ461" s="1185"/>
      <c r="BR461" s="1185"/>
      <c r="BS461" s="1185"/>
      <c r="BT461" s="1185"/>
      <c r="BU461" s="1185"/>
      <c r="BW461" s="1181"/>
    </row>
    <row r="462" spans="51:75">
      <c r="AY462" s="1184"/>
      <c r="AZ462" s="1189">
        <v>823</v>
      </c>
      <c r="BA462" s="1172">
        <v>0</v>
      </c>
      <c r="BB462" s="1188">
        <v>2.67</v>
      </c>
      <c r="BC462" s="1187">
        <v>7.3</v>
      </c>
      <c r="BD462" s="1172">
        <v>0</v>
      </c>
      <c r="BE462" s="1172">
        <v>0</v>
      </c>
      <c r="BF462" s="1172">
        <v>0</v>
      </c>
      <c r="BG462" s="1172">
        <v>0</v>
      </c>
      <c r="BH462" s="1172">
        <v>0</v>
      </c>
      <c r="BI462" s="1172">
        <v>0</v>
      </c>
      <c r="BJ462" s="1185" t="s">
        <v>1892</v>
      </c>
      <c r="BK462" s="1185"/>
      <c r="BL462" s="1185" t="s">
        <v>1333</v>
      </c>
      <c r="BM462" s="1185"/>
      <c r="BN462" s="1186"/>
      <c r="BO462" s="1185" t="s">
        <v>1947</v>
      </c>
      <c r="BP462" s="1185"/>
      <c r="BQ462" s="1185"/>
      <c r="BR462" s="1185"/>
      <c r="BS462" s="1185"/>
      <c r="BT462" s="1185"/>
      <c r="BU462" s="1185"/>
      <c r="BW462" s="1181"/>
    </row>
    <row r="463" spans="51:75">
      <c r="AY463" s="1184"/>
      <c r="AZ463" s="1189">
        <v>825</v>
      </c>
      <c r="BA463" s="1172">
        <v>2</v>
      </c>
      <c r="BB463" s="1188">
        <v>4.63</v>
      </c>
      <c r="BC463" s="1187">
        <v>6.7</v>
      </c>
      <c r="BD463" s="1172">
        <v>2000</v>
      </c>
      <c r="BE463" s="1172">
        <v>3000</v>
      </c>
      <c r="BF463" s="1172">
        <v>4000</v>
      </c>
      <c r="BG463" s="1172">
        <v>5000</v>
      </c>
      <c r="BH463" s="1172">
        <v>6500</v>
      </c>
      <c r="BI463" s="1172">
        <v>8000</v>
      </c>
      <c r="BJ463" s="1185" t="s">
        <v>1894</v>
      </c>
      <c r="BK463" s="1185"/>
      <c r="BL463" s="1185" t="s">
        <v>1329</v>
      </c>
      <c r="BM463" s="1185"/>
      <c r="BN463" s="1186"/>
      <c r="BO463" s="1185" t="s">
        <v>1946</v>
      </c>
      <c r="BP463" s="1185"/>
      <c r="BQ463" s="1185"/>
      <c r="BR463" s="1185"/>
      <c r="BS463" s="1185"/>
      <c r="BT463" s="1185"/>
      <c r="BU463" s="1185"/>
      <c r="BW463" s="1181"/>
    </row>
    <row r="464" spans="51:75">
      <c r="AY464" s="1184"/>
      <c r="AZ464" s="1189">
        <v>826</v>
      </c>
      <c r="BA464" s="1185">
        <v>16</v>
      </c>
      <c r="BB464" s="1188">
        <v>1.98</v>
      </c>
      <c r="BC464" s="1187">
        <v>7.3</v>
      </c>
      <c r="BD464" s="1172">
        <v>500</v>
      </c>
      <c r="BE464" s="1172">
        <v>750</v>
      </c>
      <c r="BF464" s="1172">
        <v>1000</v>
      </c>
      <c r="BG464" s="1172">
        <v>7000</v>
      </c>
      <c r="BH464" s="1172">
        <v>1500</v>
      </c>
      <c r="BI464" s="1172">
        <v>2000</v>
      </c>
      <c r="BJ464" s="1185" t="s">
        <v>1892</v>
      </c>
      <c r="BK464" s="1185"/>
      <c r="BL464" s="1185" t="s">
        <v>1333</v>
      </c>
      <c r="BM464" s="1185"/>
      <c r="BN464" s="1186"/>
      <c r="BO464" s="1185" t="s">
        <v>1945</v>
      </c>
      <c r="BP464" s="1185"/>
      <c r="BQ464" s="1185"/>
      <c r="BR464" s="1185"/>
      <c r="BS464" s="1185"/>
      <c r="BT464" s="1185"/>
      <c r="BU464" s="1185"/>
      <c r="BW464" s="1181"/>
    </row>
    <row r="465" spans="51:75">
      <c r="AY465" s="1184"/>
      <c r="AZ465" s="1189">
        <v>827</v>
      </c>
      <c r="BA465" s="1185">
        <v>16</v>
      </c>
      <c r="BB465" s="1188">
        <v>1.98</v>
      </c>
      <c r="BC465" s="1187">
        <v>7.3</v>
      </c>
      <c r="BD465" s="1172">
        <v>500</v>
      </c>
      <c r="BE465" s="1172">
        <v>750</v>
      </c>
      <c r="BF465" s="1172">
        <v>1000</v>
      </c>
      <c r="BG465" s="1172">
        <v>7000</v>
      </c>
      <c r="BH465" s="1172">
        <v>1500</v>
      </c>
      <c r="BI465" s="1172">
        <v>2000</v>
      </c>
      <c r="BJ465" s="1185" t="s">
        <v>1892</v>
      </c>
      <c r="BK465" s="1185"/>
      <c r="BL465" s="1185" t="s">
        <v>1333</v>
      </c>
      <c r="BM465" s="1185"/>
      <c r="BN465" s="1186"/>
      <c r="BO465" s="1185" t="s">
        <v>1944</v>
      </c>
      <c r="BP465" s="1185"/>
      <c r="BQ465" s="1185"/>
      <c r="BR465" s="1185"/>
      <c r="BS465" s="1185"/>
      <c r="BT465" s="1185"/>
      <c r="BU465" s="1185"/>
      <c r="BW465" s="1181"/>
    </row>
    <row r="466" spans="51:75">
      <c r="AY466" s="1184"/>
      <c r="AZ466" s="1189">
        <v>828</v>
      </c>
      <c r="BA466" s="1185">
        <v>17</v>
      </c>
      <c r="BB466" s="1188">
        <v>2.36</v>
      </c>
      <c r="BC466" s="1187">
        <v>7.2</v>
      </c>
      <c r="BD466" s="1172">
        <v>0</v>
      </c>
      <c r="BE466" s="1172">
        <v>0</v>
      </c>
      <c r="BF466" s="1172">
        <v>0</v>
      </c>
      <c r="BG466" s="1172">
        <v>0</v>
      </c>
      <c r="BH466" s="1172">
        <v>0</v>
      </c>
      <c r="BI466" s="1172">
        <v>0</v>
      </c>
      <c r="BJ466" s="1185" t="s">
        <v>1348</v>
      </c>
      <c r="BK466" s="1185"/>
      <c r="BL466" s="1185" t="s">
        <v>1333</v>
      </c>
      <c r="BM466" s="1185"/>
      <c r="BN466" s="1186"/>
      <c r="BO466" s="1185" t="s">
        <v>1943</v>
      </c>
      <c r="BP466" s="1185"/>
      <c r="BQ466" s="1185"/>
      <c r="BR466" s="1185"/>
      <c r="BS466" s="1185"/>
      <c r="BT466" s="1185"/>
      <c r="BU466" s="1185"/>
      <c r="BW466" s="1181"/>
    </row>
    <row r="467" spans="51:75">
      <c r="AY467" s="1184"/>
      <c r="AZ467" s="1189">
        <v>829</v>
      </c>
      <c r="BA467" s="1172">
        <v>0</v>
      </c>
      <c r="BB467" s="1188">
        <v>0.85</v>
      </c>
      <c r="BC467" s="1187">
        <v>7</v>
      </c>
      <c r="BD467" s="1172">
        <v>0</v>
      </c>
      <c r="BE467" s="1172">
        <v>0</v>
      </c>
      <c r="BF467" s="1172">
        <v>0</v>
      </c>
      <c r="BG467" s="1172">
        <v>0</v>
      </c>
      <c r="BH467" s="1172">
        <v>0</v>
      </c>
      <c r="BI467" s="1172">
        <v>0</v>
      </c>
      <c r="BJ467" s="1185" t="s">
        <v>1892</v>
      </c>
      <c r="BK467" s="1185"/>
      <c r="BL467" s="1185" t="s">
        <v>1333</v>
      </c>
      <c r="BM467" s="1185"/>
      <c r="BN467" s="1186"/>
      <c r="BO467" s="1185" t="s">
        <v>1942</v>
      </c>
      <c r="BP467" s="1185"/>
      <c r="BQ467" s="1185"/>
      <c r="BR467" s="1185"/>
      <c r="BS467" s="1185"/>
      <c r="BT467" s="1185"/>
      <c r="BU467" s="1185"/>
      <c r="BW467" s="1181"/>
    </row>
    <row r="468" spans="51:75">
      <c r="AY468" s="1184"/>
      <c r="AZ468" s="1189">
        <v>830</v>
      </c>
      <c r="BA468" s="1172">
        <v>13</v>
      </c>
      <c r="BB468" s="1188">
        <v>2.27</v>
      </c>
      <c r="BC468" s="1187">
        <v>6.7</v>
      </c>
      <c r="BD468" s="1172">
        <v>4000</v>
      </c>
      <c r="BE468" s="1172">
        <v>6000</v>
      </c>
      <c r="BF468" s="1172">
        <v>8000</v>
      </c>
      <c r="BG468" s="1172">
        <v>9000</v>
      </c>
      <c r="BH468" s="1172">
        <v>12000</v>
      </c>
      <c r="BI468" s="1172">
        <v>15000</v>
      </c>
      <c r="BJ468" s="1185" t="s">
        <v>1892</v>
      </c>
      <c r="BK468" s="1185"/>
      <c r="BL468" s="1185" t="s">
        <v>1333</v>
      </c>
      <c r="BM468" s="1185"/>
      <c r="BN468" s="1186"/>
      <c r="BO468" s="1185" t="s">
        <v>1941</v>
      </c>
      <c r="BP468" s="1185"/>
      <c r="BQ468" s="1185"/>
      <c r="BR468" s="1185"/>
      <c r="BS468" s="1185"/>
      <c r="BT468" s="1185"/>
      <c r="BU468" s="1185"/>
      <c r="BW468" s="1181"/>
    </row>
    <row r="469" spans="51:75">
      <c r="AY469" s="1184"/>
      <c r="AZ469" s="1189">
        <v>831</v>
      </c>
      <c r="BA469" s="1172">
        <v>13</v>
      </c>
      <c r="BB469" s="1188">
        <v>0</v>
      </c>
      <c r="BC469" s="1187">
        <v>7</v>
      </c>
      <c r="BD469" s="1172">
        <v>4000</v>
      </c>
      <c r="BE469" s="1172">
        <v>6000</v>
      </c>
      <c r="BF469" s="1172">
        <v>8000</v>
      </c>
      <c r="BG469" s="1172">
        <v>9000</v>
      </c>
      <c r="BH469" s="1172">
        <v>12000</v>
      </c>
      <c r="BI469" s="1172">
        <v>15000</v>
      </c>
      <c r="BJ469" s="1185" t="s">
        <v>1382</v>
      </c>
      <c r="BK469" s="1185"/>
      <c r="BL469" s="1185"/>
      <c r="BM469" s="1185"/>
      <c r="BN469" s="1186">
        <v>0.35</v>
      </c>
      <c r="BO469" s="1185" t="s">
        <v>1940</v>
      </c>
      <c r="BP469" s="1185"/>
      <c r="BQ469" s="1185"/>
      <c r="BR469" s="1185"/>
      <c r="BS469" s="1185"/>
      <c r="BT469" s="1185"/>
      <c r="BU469" s="1185"/>
      <c r="BW469" s="1181"/>
    </row>
    <row r="470" spans="51:75">
      <c r="AY470" s="1184"/>
      <c r="AZ470" s="1189">
        <v>832</v>
      </c>
      <c r="BA470" s="1185">
        <v>16</v>
      </c>
      <c r="BB470" s="1188">
        <v>1.1100000000000001</v>
      </c>
      <c r="BC470" s="1187">
        <v>7.1</v>
      </c>
      <c r="BD470" s="1172">
        <v>500</v>
      </c>
      <c r="BE470" s="1172">
        <v>750</v>
      </c>
      <c r="BF470" s="1172">
        <v>1000</v>
      </c>
      <c r="BG470" s="1172">
        <v>7000</v>
      </c>
      <c r="BH470" s="1172">
        <v>1500</v>
      </c>
      <c r="BI470" s="1172">
        <v>2000</v>
      </c>
      <c r="BJ470" s="1185" t="s">
        <v>1892</v>
      </c>
      <c r="BK470" s="1185"/>
      <c r="BL470" s="1185" t="s">
        <v>1333</v>
      </c>
      <c r="BM470" s="1185"/>
      <c r="BN470" s="1186"/>
      <c r="BO470" s="1185" t="s">
        <v>1939</v>
      </c>
      <c r="BP470" s="1185"/>
      <c r="BQ470" s="1185"/>
      <c r="BR470" s="1185"/>
      <c r="BS470" s="1185"/>
      <c r="BT470" s="1185"/>
      <c r="BU470" s="1185"/>
      <c r="BW470" s="1181"/>
    </row>
    <row r="471" spans="51:75">
      <c r="AY471" s="1184"/>
      <c r="AZ471" s="1189">
        <v>834</v>
      </c>
      <c r="BA471" s="1172">
        <v>13</v>
      </c>
      <c r="BB471" s="1188">
        <v>1.02</v>
      </c>
      <c r="BC471" s="1187">
        <v>7.2</v>
      </c>
      <c r="BD471" s="1172">
        <v>4000</v>
      </c>
      <c r="BE471" s="1172">
        <v>6000</v>
      </c>
      <c r="BF471" s="1172">
        <v>8000</v>
      </c>
      <c r="BG471" s="1172">
        <v>9000</v>
      </c>
      <c r="BH471" s="1172">
        <v>12000</v>
      </c>
      <c r="BI471" s="1172">
        <v>15000</v>
      </c>
      <c r="BJ471" s="1185" t="s">
        <v>1892</v>
      </c>
      <c r="BK471" s="1185"/>
      <c r="BL471" s="1185" t="s">
        <v>1333</v>
      </c>
      <c r="BM471" s="1185"/>
      <c r="BN471" s="1186">
        <v>0.2</v>
      </c>
      <c r="BO471" s="1185" t="s">
        <v>1938</v>
      </c>
      <c r="BP471" s="1185"/>
      <c r="BQ471" s="1185"/>
      <c r="BR471" s="1185"/>
      <c r="BS471" s="1185"/>
      <c r="BT471" s="1185"/>
      <c r="BU471" s="1185"/>
      <c r="BW471" s="1181"/>
    </row>
    <row r="472" spans="51:75">
      <c r="AY472" s="1184"/>
      <c r="AZ472" s="1189">
        <v>835</v>
      </c>
      <c r="BA472" s="1172">
        <v>13</v>
      </c>
      <c r="BB472" s="1188">
        <v>2.67</v>
      </c>
      <c r="BC472" s="1187">
        <v>7.3</v>
      </c>
      <c r="BD472" s="1172">
        <v>4000</v>
      </c>
      <c r="BE472" s="1172">
        <v>6000</v>
      </c>
      <c r="BF472" s="1172">
        <v>8000</v>
      </c>
      <c r="BG472" s="1172">
        <v>9000</v>
      </c>
      <c r="BH472" s="1172">
        <v>12000</v>
      </c>
      <c r="BI472" s="1172">
        <v>15000</v>
      </c>
      <c r="BJ472" s="1185" t="s">
        <v>1892</v>
      </c>
      <c r="BK472" s="1185"/>
      <c r="BL472" s="1185" t="s">
        <v>1333</v>
      </c>
      <c r="BM472" s="1185"/>
      <c r="BN472" s="1186">
        <v>0.35</v>
      </c>
      <c r="BO472" s="1185" t="s">
        <v>1937</v>
      </c>
      <c r="BP472" s="1185"/>
      <c r="BQ472" s="1185"/>
      <c r="BR472" s="1185"/>
      <c r="BS472" s="1185"/>
      <c r="BT472" s="1185"/>
      <c r="BU472" s="1185"/>
      <c r="BW472" s="1181"/>
    </row>
    <row r="473" spans="51:75">
      <c r="AY473" s="1184"/>
      <c r="AZ473" s="1189">
        <v>836</v>
      </c>
      <c r="BA473" s="1172">
        <v>0</v>
      </c>
      <c r="BB473" s="1188">
        <v>2.67</v>
      </c>
      <c r="BC473" s="1187">
        <v>7.3</v>
      </c>
      <c r="BD473" s="1172">
        <v>0</v>
      </c>
      <c r="BE473" s="1172">
        <v>0</v>
      </c>
      <c r="BF473" s="1172">
        <v>0</v>
      </c>
      <c r="BG473" s="1172">
        <v>0</v>
      </c>
      <c r="BH473" s="1172">
        <v>0</v>
      </c>
      <c r="BI473" s="1172">
        <v>0</v>
      </c>
      <c r="BJ473" s="1185" t="s">
        <v>1892</v>
      </c>
      <c r="BK473" s="1185"/>
      <c r="BL473" s="1185" t="s">
        <v>1333</v>
      </c>
      <c r="BM473" s="1185"/>
      <c r="BN473" s="1186"/>
      <c r="BO473" s="1185" t="s">
        <v>1936</v>
      </c>
      <c r="BP473" s="1172"/>
      <c r="BQ473" s="1185"/>
      <c r="BR473" s="1185"/>
      <c r="BS473" s="1185"/>
      <c r="BT473" s="1185"/>
      <c r="BU473" s="1185"/>
      <c r="BW473" s="1181"/>
    </row>
    <row r="474" spans="51:75">
      <c r="AY474" s="1184"/>
      <c r="AZ474" s="1189">
        <v>837</v>
      </c>
      <c r="BA474" s="1172">
        <v>0</v>
      </c>
      <c r="BB474" s="1188">
        <v>0</v>
      </c>
      <c r="BC474" s="1187">
        <v>7</v>
      </c>
      <c r="BD474" s="1172">
        <v>0</v>
      </c>
      <c r="BE474" s="1172">
        <v>0</v>
      </c>
      <c r="BF474" s="1172">
        <v>0</v>
      </c>
      <c r="BG474" s="1172">
        <v>0</v>
      </c>
      <c r="BH474" s="1172">
        <v>0</v>
      </c>
      <c r="BI474" s="1172">
        <v>0</v>
      </c>
      <c r="BJ474" s="1185" t="s">
        <v>1382</v>
      </c>
      <c r="BK474" s="1185"/>
      <c r="BL474" s="1185"/>
      <c r="BM474" s="1185"/>
      <c r="BN474" s="1186"/>
      <c r="BO474" s="1185" t="s">
        <v>1935</v>
      </c>
      <c r="BP474" s="1172"/>
      <c r="BQ474" s="1185"/>
      <c r="BR474" s="1185"/>
      <c r="BS474" s="1185"/>
      <c r="BT474" s="1185"/>
      <c r="BU474" s="1185"/>
      <c r="BW474" s="1181"/>
    </row>
    <row r="475" spans="51:75">
      <c r="AY475" s="1184"/>
      <c r="AZ475" s="1189">
        <v>839</v>
      </c>
      <c r="BA475" s="1172">
        <v>13</v>
      </c>
      <c r="BB475" s="1188">
        <v>2.27</v>
      </c>
      <c r="BC475" s="1187">
        <v>6.7</v>
      </c>
      <c r="BD475" s="1172">
        <v>4000</v>
      </c>
      <c r="BE475" s="1172">
        <v>6000</v>
      </c>
      <c r="BF475" s="1172">
        <v>8000</v>
      </c>
      <c r="BG475" s="1172">
        <v>9000</v>
      </c>
      <c r="BH475" s="1172">
        <v>12000</v>
      </c>
      <c r="BI475" s="1172">
        <v>15000</v>
      </c>
      <c r="BJ475" s="1185" t="s">
        <v>1892</v>
      </c>
      <c r="BK475" s="1185"/>
      <c r="BL475" s="1185" t="s">
        <v>1333</v>
      </c>
      <c r="BM475" s="1185"/>
      <c r="BN475" s="1186"/>
      <c r="BO475" s="1185" t="s">
        <v>1934</v>
      </c>
      <c r="BP475" s="1185"/>
      <c r="BQ475" s="1185"/>
      <c r="BR475" s="1185"/>
      <c r="BS475" s="1185"/>
      <c r="BT475" s="1185"/>
      <c r="BU475" s="1185"/>
      <c r="BW475" s="1181"/>
    </row>
    <row r="476" spans="51:75">
      <c r="AY476" s="1184"/>
      <c r="AZ476" s="1189">
        <v>840</v>
      </c>
      <c r="BA476" s="1185">
        <v>16</v>
      </c>
      <c r="BB476" s="1188">
        <v>2.67</v>
      </c>
      <c r="BC476" s="1187">
        <v>7.3</v>
      </c>
      <c r="BD476" s="1172">
        <v>500</v>
      </c>
      <c r="BE476" s="1172">
        <v>750</v>
      </c>
      <c r="BF476" s="1172">
        <v>1000</v>
      </c>
      <c r="BG476" s="1172">
        <v>7000</v>
      </c>
      <c r="BH476" s="1172">
        <v>1500</v>
      </c>
      <c r="BI476" s="1172">
        <v>2000</v>
      </c>
      <c r="BJ476" s="1185" t="s">
        <v>1892</v>
      </c>
      <c r="BK476" s="1185"/>
      <c r="BL476" s="1185" t="s">
        <v>1333</v>
      </c>
      <c r="BM476" s="1185"/>
      <c r="BN476" s="1186"/>
      <c r="BO476" s="1185" t="s">
        <v>1933</v>
      </c>
      <c r="BP476" s="1185"/>
      <c r="BQ476" s="1185"/>
      <c r="BR476" s="1185"/>
      <c r="BS476" s="1185"/>
      <c r="BT476" s="1185"/>
      <c r="BU476" s="1185"/>
      <c r="BW476" s="1181"/>
    </row>
    <row r="477" spans="51:75">
      <c r="AY477" s="1184"/>
      <c r="AZ477" s="1189">
        <v>841</v>
      </c>
      <c r="BA477" s="1185">
        <v>16</v>
      </c>
      <c r="BB477" s="1188">
        <v>0.2</v>
      </c>
      <c r="BC477" s="1187">
        <v>8</v>
      </c>
      <c r="BD477" s="1172">
        <v>500</v>
      </c>
      <c r="BE477" s="1172">
        <v>750</v>
      </c>
      <c r="BF477" s="1172">
        <v>1000</v>
      </c>
      <c r="BG477" s="1172">
        <v>7000</v>
      </c>
      <c r="BH477" s="1172">
        <v>1500</v>
      </c>
      <c r="BI477" s="1172">
        <v>2000</v>
      </c>
      <c r="BJ477" s="1185" t="s">
        <v>1892</v>
      </c>
      <c r="BK477" s="1185"/>
      <c r="BL477" s="1185" t="s">
        <v>1333</v>
      </c>
      <c r="BM477" s="1185"/>
      <c r="BN477" s="1186"/>
      <c r="BO477" s="1185" t="s">
        <v>1932</v>
      </c>
      <c r="BP477" s="1185"/>
      <c r="BQ477" s="1185"/>
      <c r="BR477" s="1185"/>
      <c r="BS477" s="1185"/>
      <c r="BT477" s="1185"/>
      <c r="BU477" s="1185"/>
      <c r="BW477" s="1181"/>
    </row>
    <row r="478" spans="51:75">
      <c r="AY478" s="1184"/>
      <c r="AZ478" s="1189">
        <v>842</v>
      </c>
      <c r="BA478" s="1185">
        <v>16</v>
      </c>
      <c r="BB478" s="1188">
        <v>2.67</v>
      </c>
      <c r="BC478" s="1187">
        <v>7.3</v>
      </c>
      <c r="BD478" s="1172">
        <v>500</v>
      </c>
      <c r="BE478" s="1172">
        <v>750</v>
      </c>
      <c r="BF478" s="1172">
        <v>1000</v>
      </c>
      <c r="BG478" s="1172">
        <v>7000</v>
      </c>
      <c r="BH478" s="1172">
        <v>1500</v>
      </c>
      <c r="BI478" s="1172">
        <v>2000</v>
      </c>
      <c r="BJ478" s="1185" t="s">
        <v>1892</v>
      </c>
      <c r="BK478" s="1185"/>
      <c r="BL478" s="1185" t="s">
        <v>1333</v>
      </c>
      <c r="BM478" s="1185"/>
      <c r="BN478" s="1186"/>
      <c r="BO478" s="1185" t="s">
        <v>1931</v>
      </c>
      <c r="BP478" s="1185"/>
      <c r="BQ478" s="1185"/>
      <c r="BR478" s="1185"/>
      <c r="BS478" s="1185"/>
      <c r="BT478" s="1185"/>
      <c r="BU478" s="1185"/>
      <c r="BW478" s="1181"/>
    </row>
    <row r="479" spans="51:75">
      <c r="AY479" s="1184"/>
      <c r="AZ479" s="1189">
        <v>843</v>
      </c>
      <c r="BA479" s="1185">
        <v>15</v>
      </c>
      <c r="BB479" s="1188">
        <v>2.41</v>
      </c>
      <c r="BC479" s="1187">
        <v>5.3</v>
      </c>
      <c r="BD479" s="1172">
        <v>4000</v>
      </c>
      <c r="BE479" s="1172">
        <v>6000</v>
      </c>
      <c r="BF479" s="1172">
        <v>8000</v>
      </c>
      <c r="BG479" s="1172">
        <v>8000</v>
      </c>
      <c r="BH479" s="1172">
        <v>10000</v>
      </c>
      <c r="BI479" s="1172">
        <v>12000</v>
      </c>
      <c r="BJ479" s="1185" t="s">
        <v>1892</v>
      </c>
      <c r="BK479" s="1185"/>
      <c r="BL479" s="1185" t="s">
        <v>1390</v>
      </c>
      <c r="BM479" s="1185"/>
      <c r="BN479" s="1186"/>
      <c r="BO479" s="1185" t="s">
        <v>1930</v>
      </c>
      <c r="BP479" s="1185"/>
      <c r="BQ479" s="1185"/>
      <c r="BR479" s="1185"/>
      <c r="BS479" s="1185"/>
      <c r="BT479" s="1185"/>
      <c r="BU479" s="1185"/>
      <c r="BW479" s="1181"/>
    </row>
    <row r="480" spans="51:75">
      <c r="AY480" s="1184"/>
      <c r="AZ480" s="1189">
        <v>844</v>
      </c>
      <c r="BA480" s="1172">
        <v>13</v>
      </c>
      <c r="BB480" s="1188">
        <v>5.51</v>
      </c>
      <c r="BC480" s="1187">
        <v>6.3</v>
      </c>
      <c r="BD480" s="1172">
        <v>4000</v>
      </c>
      <c r="BE480" s="1172">
        <v>6000</v>
      </c>
      <c r="BF480" s="1172">
        <v>8000</v>
      </c>
      <c r="BG480" s="1172">
        <v>9000</v>
      </c>
      <c r="BH480" s="1172">
        <v>12000</v>
      </c>
      <c r="BI480" s="1172">
        <v>15000</v>
      </c>
      <c r="BJ480" s="1185" t="s">
        <v>1892</v>
      </c>
      <c r="BK480" s="1185"/>
      <c r="BL480" s="1185" t="s">
        <v>1390</v>
      </c>
      <c r="BM480" s="1185"/>
      <c r="BN480" s="1186"/>
      <c r="BO480" s="1185" t="s">
        <v>1929</v>
      </c>
      <c r="BP480" s="1185"/>
      <c r="BQ480" s="1185"/>
      <c r="BR480" s="1185"/>
      <c r="BS480" s="1185"/>
      <c r="BT480" s="1185"/>
      <c r="BU480" s="1185"/>
      <c r="BW480" s="1181"/>
    </row>
    <row r="481" spans="51:75">
      <c r="AY481" s="1184"/>
      <c r="AZ481" s="1189">
        <v>845</v>
      </c>
      <c r="BA481" s="1172">
        <v>13</v>
      </c>
      <c r="BB481" s="1188">
        <v>5.51</v>
      </c>
      <c r="BC481" s="1187">
        <v>6.3</v>
      </c>
      <c r="BD481" s="1172">
        <v>4000</v>
      </c>
      <c r="BE481" s="1172">
        <v>6000</v>
      </c>
      <c r="BF481" s="1172">
        <v>8000</v>
      </c>
      <c r="BG481" s="1172">
        <v>9000</v>
      </c>
      <c r="BH481" s="1172">
        <v>12000</v>
      </c>
      <c r="BI481" s="1172">
        <v>15000</v>
      </c>
      <c r="BJ481" s="1185" t="s">
        <v>1892</v>
      </c>
      <c r="BK481" s="1185"/>
      <c r="BL481" s="1185" t="s">
        <v>1390</v>
      </c>
      <c r="BM481" s="1185"/>
      <c r="BN481" s="1186"/>
      <c r="BO481" s="1185" t="s">
        <v>1928</v>
      </c>
      <c r="BP481" s="1185"/>
      <c r="BQ481" s="1185"/>
      <c r="BR481" s="1185"/>
      <c r="BS481" s="1185"/>
      <c r="BT481" s="1185"/>
      <c r="BU481" s="1185"/>
      <c r="BW481" s="1181"/>
    </row>
    <row r="482" spans="51:75">
      <c r="AY482" s="1184"/>
      <c r="AZ482" s="1189">
        <v>846</v>
      </c>
      <c r="BA482" s="1185">
        <v>16</v>
      </c>
      <c r="BB482" s="1188">
        <v>1.02</v>
      </c>
      <c r="BC482" s="1187">
        <v>7.2</v>
      </c>
      <c r="BD482" s="1172">
        <v>500</v>
      </c>
      <c r="BE482" s="1172">
        <v>750</v>
      </c>
      <c r="BF482" s="1172">
        <v>1000</v>
      </c>
      <c r="BG482" s="1172">
        <v>7000</v>
      </c>
      <c r="BH482" s="1172">
        <v>1500</v>
      </c>
      <c r="BI482" s="1172">
        <v>2000</v>
      </c>
      <c r="BJ482" s="1185" t="s">
        <v>1892</v>
      </c>
      <c r="BK482" s="1185"/>
      <c r="BL482" s="1185" t="s">
        <v>1333</v>
      </c>
      <c r="BM482" s="1185"/>
      <c r="BN482" s="1186">
        <v>0.2</v>
      </c>
      <c r="BO482" s="1185" t="s">
        <v>1927</v>
      </c>
      <c r="BP482" s="1185"/>
      <c r="BQ482" s="1185"/>
      <c r="BR482" s="1185"/>
      <c r="BS482" s="1185"/>
      <c r="BT482" s="1185"/>
      <c r="BU482" s="1185"/>
      <c r="BW482" s="1181"/>
    </row>
    <row r="483" spans="51:75">
      <c r="AY483" s="1184"/>
      <c r="AZ483" s="1189">
        <v>848</v>
      </c>
      <c r="BA483" s="1172">
        <v>13</v>
      </c>
      <c r="BB483" s="1188">
        <v>6.7</v>
      </c>
      <c r="BC483" s="1187">
        <v>5.5</v>
      </c>
      <c r="BD483" s="1172">
        <v>4000</v>
      </c>
      <c r="BE483" s="1172">
        <v>6000</v>
      </c>
      <c r="BF483" s="1172">
        <v>8000</v>
      </c>
      <c r="BG483" s="1172">
        <v>9000</v>
      </c>
      <c r="BH483" s="1172">
        <v>12000</v>
      </c>
      <c r="BI483" s="1172">
        <v>15000</v>
      </c>
      <c r="BJ483" s="1185" t="s">
        <v>1892</v>
      </c>
      <c r="BK483" s="1185"/>
      <c r="BL483" s="1185" t="s">
        <v>1390</v>
      </c>
      <c r="BM483" s="1185"/>
      <c r="BN483" s="1186"/>
      <c r="BO483" s="1185" t="s">
        <v>1926</v>
      </c>
      <c r="BP483" s="1185"/>
      <c r="BQ483" s="1185"/>
      <c r="BR483" s="1185"/>
      <c r="BS483" s="1185"/>
      <c r="BT483" s="1185"/>
      <c r="BU483" s="1185"/>
      <c r="BW483" s="1181"/>
    </row>
    <row r="484" spans="51:75">
      <c r="AY484" s="1184"/>
      <c r="AZ484" s="1189">
        <v>849</v>
      </c>
      <c r="BA484" s="1185">
        <v>15</v>
      </c>
      <c r="BB484" s="1188">
        <v>8.0399999999999991</v>
      </c>
      <c r="BC484" s="1187">
        <v>4.5</v>
      </c>
      <c r="BD484" s="1172">
        <v>4000</v>
      </c>
      <c r="BE484" s="1172">
        <v>6000</v>
      </c>
      <c r="BF484" s="1172">
        <v>8000</v>
      </c>
      <c r="BG484" s="1172">
        <v>8000</v>
      </c>
      <c r="BH484" s="1172">
        <v>10000</v>
      </c>
      <c r="BI484" s="1172">
        <v>12000</v>
      </c>
      <c r="BJ484" s="1185" t="s">
        <v>1892</v>
      </c>
      <c r="BK484" s="1185"/>
      <c r="BL484" s="1185" t="s">
        <v>1390</v>
      </c>
      <c r="BM484" s="1185"/>
      <c r="BN484" s="1186"/>
      <c r="BO484" s="1185" t="s">
        <v>1925</v>
      </c>
      <c r="BP484" s="1185"/>
      <c r="BQ484" s="1185"/>
      <c r="BR484" s="1185"/>
      <c r="BS484" s="1185"/>
      <c r="BT484" s="1185"/>
      <c r="BU484" s="1185"/>
      <c r="BW484" s="1181"/>
    </row>
    <row r="485" spans="51:75">
      <c r="AY485" s="1184"/>
      <c r="AZ485" s="1189">
        <v>850</v>
      </c>
      <c r="BA485" s="1185">
        <v>11</v>
      </c>
      <c r="BB485" s="1188">
        <v>7.53</v>
      </c>
      <c r="BC485" s="1187">
        <v>5.6</v>
      </c>
      <c r="BD485" s="1172">
        <v>3000</v>
      </c>
      <c r="BE485" s="1172">
        <v>4000</v>
      </c>
      <c r="BF485" s="1172">
        <v>5000</v>
      </c>
      <c r="BG485" s="1172">
        <v>7000</v>
      </c>
      <c r="BH485" s="1172">
        <v>8000</v>
      </c>
      <c r="BI485" s="1172">
        <v>9000</v>
      </c>
      <c r="BJ485" s="1185" t="s">
        <v>1348</v>
      </c>
      <c r="BK485" s="1185"/>
      <c r="BL485" s="1185" t="s">
        <v>1390</v>
      </c>
      <c r="BM485" s="1185"/>
      <c r="BN485" s="1186"/>
      <c r="BO485" s="1185" t="s">
        <v>1924</v>
      </c>
      <c r="BP485" s="1185"/>
      <c r="BQ485" s="1185"/>
      <c r="BR485" s="1185"/>
      <c r="BS485" s="1185"/>
      <c r="BT485" s="1185"/>
      <c r="BU485" s="1185"/>
      <c r="BW485" s="1181"/>
    </row>
    <row r="486" spans="51:75">
      <c r="AY486" s="1184"/>
      <c r="AZ486" s="1189">
        <v>851</v>
      </c>
      <c r="BA486" s="1185">
        <v>11</v>
      </c>
      <c r="BB486" s="1188">
        <v>3.4</v>
      </c>
      <c r="BC486" s="1187">
        <v>5.8</v>
      </c>
      <c r="BD486" s="1172">
        <v>3000</v>
      </c>
      <c r="BE486" s="1172">
        <v>4000</v>
      </c>
      <c r="BF486" s="1172">
        <v>5000</v>
      </c>
      <c r="BG486" s="1172">
        <v>7000</v>
      </c>
      <c r="BH486" s="1172">
        <v>8000</v>
      </c>
      <c r="BI486" s="1172">
        <v>9000</v>
      </c>
      <c r="BJ486" s="1185" t="s">
        <v>1348</v>
      </c>
      <c r="BK486" s="1185"/>
      <c r="BL486" s="1185" t="s">
        <v>1390</v>
      </c>
      <c r="BM486" s="1185"/>
      <c r="BN486" s="1186"/>
      <c r="BO486" s="1185" t="s">
        <v>1923</v>
      </c>
      <c r="BP486" s="1185"/>
      <c r="BQ486" s="1185"/>
      <c r="BR486" s="1185"/>
      <c r="BS486" s="1185"/>
      <c r="BT486" s="1185"/>
      <c r="BU486" s="1185"/>
      <c r="BW486" s="1181"/>
    </row>
    <row r="487" spans="51:75">
      <c r="AY487" s="1184"/>
      <c r="AZ487" s="1189">
        <v>900</v>
      </c>
      <c r="BA487" s="1185">
        <v>11</v>
      </c>
      <c r="BB487" s="1188">
        <v>7.53</v>
      </c>
      <c r="BC487" s="1187">
        <v>5.6</v>
      </c>
      <c r="BD487" s="1172">
        <v>3000</v>
      </c>
      <c r="BE487" s="1172">
        <v>4000</v>
      </c>
      <c r="BF487" s="1172">
        <v>5000</v>
      </c>
      <c r="BG487" s="1172">
        <v>7000</v>
      </c>
      <c r="BH487" s="1172">
        <v>8000</v>
      </c>
      <c r="BI487" s="1172">
        <v>9000</v>
      </c>
      <c r="BJ487" s="1185" t="s">
        <v>1348</v>
      </c>
      <c r="BK487" s="1185"/>
      <c r="BL487" s="1185" t="s">
        <v>1390</v>
      </c>
      <c r="BM487" s="1185"/>
      <c r="BN487" s="1186"/>
      <c r="BO487" s="1185" t="s">
        <v>1922</v>
      </c>
      <c r="BP487" s="1185"/>
      <c r="BQ487" s="1185"/>
      <c r="BR487" s="1185"/>
      <c r="BS487" s="1185"/>
      <c r="BT487" s="1185"/>
      <c r="BU487" s="1185"/>
      <c r="BW487" s="1181"/>
    </row>
    <row r="488" spans="51:75">
      <c r="AY488" s="1184"/>
      <c r="AZ488" s="1189">
        <v>901</v>
      </c>
      <c r="BA488" s="1185">
        <v>10</v>
      </c>
      <c r="BB488" s="1188">
        <v>6.56</v>
      </c>
      <c r="BC488" s="1187">
        <v>5.9</v>
      </c>
      <c r="BD488" s="1061">
        <v>6000</v>
      </c>
      <c r="BE488" s="1172">
        <v>8000</v>
      </c>
      <c r="BF488" s="1172">
        <v>10000</v>
      </c>
      <c r="BG488" s="1061">
        <v>12000</v>
      </c>
      <c r="BH488" s="1172">
        <v>16000</v>
      </c>
      <c r="BI488" s="1172">
        <v>20000</v>
      </c>
      <c r="BJ488" s="1185" t="s">
        <v>1894</v>
      </c>
      <c r="BK488" s="1185"/>
      <c r="BL488" s="1185" t="s">
        <v>1390</v>
      </c>
      <c r="BM488" s="1185"/>
      <c r="BN488" s="1186"/>
      <c r="BO488" s="1185" t="s">
        <v>1921</v>
      </c>
      <c r="BP488" s="1185"/>
      <c r="BQ488" s="1185"/>
      <c r="BR488" s="1185"/>
      <c r="BS488" s="1185"/>
      <c r="BT488" s="1185"/>
      <c r="BU488" s="1185"/>
      <c r="BW488" s="1181"/>
    </row>
    <row r="489" spans="51:75">
      <c r="AY489" s="1184"/>
      <c r="AZ489" s="1189">
        <v>902</v>
      </c>
      <c r="BA489" s="1185">
        <v>10</v>
      </c>
      <c r="BB489" s="1188">
        <v>6.56</v>
      </c>
      <c r="BC489" s="1187">
        <v>5.9</v>
      </c>
      <c r="BD489" s="1061">
        <v>6000</v>
      </c>
      <c r="BE489" s="1172">
        <v>8000</v>
      </c>
      <c r="BF489" s="1172">
        <v>10000</v>
      </c>
      <c r="BG489" s="1061">
        <v>12000</v>
      </c>
      <c r="BH489" s="1172">
        <v>16000</v>
      </c>
      <c r="BI489" s="1172">
        <v>20000</v>
      </c>
      <c r="BJ489" s="1185" t="s">
        <v>1894</v>
      </c>
      <c r="BK489" s="1185"/>
      <c r="BL489" s="1185" t="s">
        <v>1390</v>
      </c>
      <c r="BM489" s="1185"/>
      <c r="BN489" s="1186"/>
      <c r="BO489" s="1185" t="s">
        <v>1920</v>
      </c>
      <c r="BP489" s="1185"/>
      <c r="BQ489" s="1185"/>
      <c r="BR489" s="1185"/>
      <c r="BS489" s="1185"/>
      <c r="BT489" s="1185"/>
      <c r="BU489" s="1185"/>
      <c r="BW489" s="1181"/>
    </row>
    <row r="490" spans="51:75">
      <c r="AY490" s="1184"/>
      <c r="AZ490" s="1189">
        <v>903</v>
      </c>
      <c r="BA490" s="1185">
        <v>10</v>
      </c>
      <c r="BB490" s="1188">
        <v>6.56</v>
      </c>
      <c r="BC490" s="1187">
        <v>5.9</v>
      </c>
      <c r="BD490" s="1061">
        <v>6000</v>
      </c>
      <c r="BE490" s="1172">
        <v>8000</v>
      </c>
      <c r="BF490" s="1172">
        <v>10000</v>
      </c>
      <c r="BG490" s="1061">
        <v>12000</v>
      </c>
      <c r="BH490" s="1172">
        <v>16000</v>
      </c>
      <c r="BI490" s="1172">
        <v>20000</v>
      </c>
      <c r="BJ490" s="1185" t="s">
        <v>1894</v>
      </c>
      <c r="BK490" s="1185"/>
      <c r="BL490" s="1185" t="s">
        <v>1390</v>
      </c>
      <c r="BM490" s="1185"/>
      <c r="BN490" s="1186"/>
      <c r="BO490" s="1185" t="s">
        <v>1919</v>
      </c>
      <c r="BP490" s="1185"/>
      <c r="BQ490" s="1185"/>
      <c r="BR490" s="1185"/>
      <c r="BS490" s="1185"/>
      <c r="BT490" s="1185"/>
      <c r="BU490" s="1185"/>
      <c r="BW490" s="1181"/>
    </row>
    <row r="491" spans="51:75">
      <c r="AY491" s="1184"/>
      <c r="AZ491" s="1189">
        <v>904</v>
      </c>
      <c r="BA491" s="1185">
        <v>11</v>
      </c>
      <c r="BB491" s="1188">
        <v>6.14</v>
      </c>
      <c r="BC491" s="1187">
        <v>5.2</v>
      </c>
      <c r="BD491" s="1172">
        <v>3000</v>
      </c>
      <c r="BE491" s="1172">
        <v>4000</v>
      </c>
      <c r="BF491" s="1172">
        <v>5000</v>
      </c>
      <c r="BG491" s="1172">
        <v>7000</v>
      </c>
      <c r="BH491" s="1172">
        <v>8000</v>
      </c>
      <c r="BI491" s="1172">
        <v>9000</v>
      </c>
      <c r="BJ491" s="1185" t="s">
        <v>1348</v>
      </c>
      <c r="BK491" s="1185"/>
      <c r="BL491" s="1185" t="s">
        <v>1390</v>
      </c>
      <c r="BM491" s="1185"/>
      <c r="BN491" s="1186"/>
      <c r="BO491" s="1185" t="s">
        <v>1918</v>
      </c>
      <c r="BP491" s="1185"/>
      <c r="BQ491" s="1185"/>
      <c r="BR491" s="1185"/>
      <c r="BS491" s="1185"/>
      <c r="BT491" s="1185"/>
      <c r="BU491" s="1185"/>
      <c r="BW491" s="1181"/>
    </row>
    <row r="492" spans="51:75">
      <c r="AY492" s="1184"/>
      <c r="AZ492" s="1189">
        <v>905</v>
      </c>
      <c r="BA492" s="1185">
        <v>11</v>
      </c>
      <c r="BB492" s="1188">
        <v>6.14</v>
      </c>
      <c r="BC492" s="1187">
        <v>5.2</v>
      </c>
      <c r="BD492" s="1172">
        <v>3000</v>
      </c>
      <c r="BE492" s="1172">
        <v>4000</v>
      </c>
      <c r="BF492" s="1172">
        <v>5000</v>
      </c>
      <c r="BG492" s="1172">
        <v>7000</v>
      </c>
      <c r="BH492" s="1172">
        <v>8000</v>
      </c>
      <c r="BI492" s="1172">
        <v>9000</v>
      </c>
      <c r="BJ492" s="1185" t="s">
        <v>1348</v>
      </c>
      <c r="BK492" s="1185"/>
      <c r="BL492" s="1185" t="s">
        <v>1390</v>
      </c>
      <c r="BM492" s="1185"/>
      <c r="BN492" s="1186"/>
      <c r="BO492" s="1185" t="s">
        <v>1917</v>
      </c>
      <c r="BP492" s="1185"/>
      <c r="BQ492" s="1185"/>
      <c r="BR492" s="1185"/>
      <c r="BS492" s="1185"/>
      <c r="BT492" s="1185"/>
      <c r="BU492" s="1185"/>
      <c r="BW492" s="1181"/>
    </row>
    <row r="493" spans="51:75">
      <c r="AY493" s="1184"/>
      <c r="AZ493" s="1189">
        <v>906</v>
      </c>
      <c r="BA493" s="1185">
        <v>11</v>
      </c>
      <c r="BB493" s="1188">
        <v>7.53</v>
      </c>
      <c r="BC493" s="1187">
        <v>5.6</v>
      </c>
      <c r="BD493" s="1172">
        <v>3000</v>
      </c>
      <c r="BE493" s="1172">
        <v>4000</v>
      </c>
      <c r="BF493" s="1172">
        <v>5000</v>
      </c>
      <c r="BG493" s="1172">
        <v>7000</v>
      </c>
      <c r="BH493" s="1172">
        <v>8000</v>
      </c>
      <c r="BI493" s="1172">
        <v>9000</v>
      </c>
      <c r="BJ493" s="1185" t="s">
        <v>1348</v>
      </c>
      <c r="BK493" s="1185"/>
      <c r="BL493" s="1185" t="s">
        <v>1390</v>
      </c>
      <c r="BM493" s="1185"/>
      <c r="BN493" s="1186"/>
      <c r="BO493" s="1185" t="s">
        <v>1916</v>
      </c>
      <c r="BP493" s="1185"/>
      <c r="BQ493" s="1185"/>
      <c r="BR493" s="1185"/>
      <c r="BS493" s="1185"/>
      <c r="BT493" s="1185"/>
      <c r="BU493" s="1185"/>
      <c r="BW493" s="1181"/>
    </row>
    <row r="494" spans="51:75">
      <c r="AY494" s="1184"/>
      <c r="AZ494" s="1189">
        <v>907</v>
      </c>
      <c r="BA494" s="1185">
        <v>11</v>
      </c>
      <c r="BB494" s="1188">
        <v>7.53</v>
      </c>
      <c r="BC494" s="1187">
        <v>5.6</v>
      </c>
      <c r="BD494" s="1172">
        <v>3000</v>
      </c>
      <c r="BE494" s="1172">
        <v>4000</v>
      </c>
      <c r="BF494" s="1172">
        <v>5000</v>
      </c>
      <c r="BG494" s="1172">
        <v>7000</v>
      </c>
      <c r="BH494" s="1172">
        <v>8000</v>
      </c>
      <c r="BI494" s="1172">
        <v>9000</v>
      </c>
      <c r="BJ494" s="1185" t="s">
        <v>1348</v>
      </c>
      <c r="BK494" s="1185"/>
      <c r="BL494" s="1185" t="s">
        <v>1390</v>
      </c>
      <c r="BM494" s="1185"/>
      <c r="BN494" s="1186"/>
      <c r="BO494" s="1185" t="s">
        <v>1915</v>
      </c>
      <c r="BP494" s="1185"/>
      <c r="BQ494" s="1185"/>
      <c r="BR494" s="1185"/>
      <c r="BS494" s="1185"/>
      <c r="BT494" s="1185"/>
      <c r="BU494" s="1185"/>
      <c r="BW494" s="1181"/>
    </row>
    <row r="495" spans="51:75">
      <c r="AY495" s="1184"/>
      <c r="AZ495" s="1189">
        <v>908</v>
      </c>
      <c r="BA495" s="1185">
        <v>11</v>
      </c>
      <c r="BB495" s="1188">
        <v>7.53</v>
      </c>
      <c r="BC495" s="1187">
        <v>5.6</v>
      </c>
      <c r="BD495" s="1172">
        <v>3000</v>
      </c>
      <c r="BE495" s="1172">
        <v>4000</v>
      </c>
      <c r="BF495" s="1172">
        <v>5000</v>
      </c>
      <c r="BG495" s="1172">
        <v>7000</v>
      </c>
      <c r="BH495" s="1172">
        <v>8000</v>
      </c>
      <c r="BI495" s="1172">
        <v>9000</v>
      </c>
      <c r="BJ495" s="1185" t="s">
        <v>1348</v>
      </c>
      <c r="BK495" s="1185"/>
      <c r="BL495" s="1185" t="s">
        <v>1390</v>
      </c>
      <c r="BM495" s="1185"/>
      <c r="BN495" s="1186">
        <v>0.25</v>
      </c>
      <c r="BO495" s="1185" t="s">
        <v>1914</v>
      </c>
      <c r="BP495" s="1185"/>
      <c r="BQ495" s="1185"/>
      <c r="BR495" s="1185"/>
      <c r="BS495" s="1185"/>
      <c r="BT495" s="1185"/>
      <c r="BU495" s="1185"/>
      <c r="BW495" s="1181"/>
    </row>
    <row r="496" spans="51:75">
      <c r="AY496" s="1184"/>
      <c r="AZ496" s="1189">
        <v>909</v>
      </c>
      <c r="BA496" s="1185">
        <v>10</v>
      </c>
      <c r="BB496" s="1188">
        <v>6.56</v>
      </c>
      <c r="BC496" s="1187">
        <v>5.9</v>
      </c>
      <c r="BD496" s="1061">
        <v>6000</v>
      </c>
      <c r="BE496" s="1172">
        <v>8000</v>
      </c>
      <c r="BF496" s="1172">
        <v>10000</v>
      </c>
      <c r="BG496" s="1061">
        <v>12000</v>
      </c>
      <c r="BH496" s="1172">
        <v>16000</v>
      </c>
      <c r="BI496" s="1172">
        <v>20000</v>
      </c>
      <c r="BJ496" s="1185" t="s">
        <v>1894</v>
      </c>
      <c r="BK496" s="1185"/>
      <c r="BL496" s="1185" t="s">
        <v>1390</v>
      </c>
      <c r="BM496" s="1185"/>
      <c r="BN496" s="1186">
        <v>0.35</v>
      </c>
      <c r="BO496" s="1185" t="s">
        <v>1913</v>
      </c>
      <c r="BP496" s="1185"/>
      <c r="BQ496" s="1185"/>
      <c r="BR496" s="1185"/>
      <c r="BS496" s="1185"/>
      <c r="BT496" s="1185"/>
      <c r="BU496" s="1185"/>
      <c r="BW496" s="1181"/>
    </row>
    <row r="497" spans="51:75">
      <c r="AY497" s="1184"/>
      <c r="AZ497" s="1189">
        <v>910</v>
      </c>
      <c r="BA497" s="1172">
        <v>13</v>
      </c>
      <c r="BB497" s="1188">
        <v>6.7</v>
      </c>
      <c r="BC497" s="1187">
        <v>5.5</v>
      </c>
      <c r="BD497" s="1172">
        <v>4000</v>
      </c>
      <c r="BE497" s="1172">
        <v>6000</v>
      </c>
      <c r="BF497" s="1172">
        <v>8000</v>
      </c>
      <c r="BG497" s="1172">
        <v>9000</v>
      </c>
      <c r="BH497" s="1172">
        <v>12000</v>
      </c>
      <c r="BI497" s="1172">
        <v>15000</v>
      </c>
      <c r="BJ497" s="1185" t="s">
        <v>1892</v>
      </c>
      <c r="BK497" s="1185"/>
      <c r="BL497" s="1185" t="s">
        <v>1390</v>
      </c>
      <c r="BM497" s="1185"/>
      <c r="BN497" s="1186"/>
      <c r="BO497" s="1185" t="s">
        <v>1912</v>
      </c>
      <c r="BP497" s="1185"/>
      <c r="BQ497" s="1185"/>
      <c r="BR497" s="1185"/>
      <c r="BS497" s="1185"/>
      <c r="BT497" s="1185"/>
      <c r="BU497" s="1185"/>
      <c r="BW497" s="1181"/>
    </row>
    <row r="498" spans="51:75">
      <c r="AY498" s="1184"/>
      <c r="AZ498" s="1189">
        <v>911</v>
      </c>
      <c r="BA498" s="1172">
        <v>13</v>
      </c>
      <c r="BB498" s="1188">
        <v>2.41</v>
      </c>
      <c r="BC498" s="1187">
        <v>5.3</v>
      </c>
      <c r="BD498" s="1172">
        <v>4000</v>
      </c>
      <c r="BE498" s="1172">
        <v>6000</v>
      </c>
      <c r="BF498" s="1172">
        <v>8000</v>
      </c>
      <c r="BG498" s="1172">
        <v>9000</v>
      </c>
      <c r="BH498" s="1172">
        <v>12000</v>
      </c>
      <c r="BI498" s="1172">
        <v>15000</v>
      </c>
      <c r="BJ498" s="1185" t="s">
        <v>1892</v>
      </c>
      <c r="BK498" s="1185"/>
      <c r="BL498" s="1185" t="s">
        <v>1390</v>
      </c>
      <c r="BM498" s="1185"/>
      <c r="BN498" s="1186">
        <v>0.2</v>
      </c>
      <c r="BO498" s="1185" t="s">
        <v>1911</v>
      </c>
      <c r="BP498" s="1185"/>
      <c r="BQ498" s="1185"/>
      <c r="BR498" s="1185"/>
      <c r="BS498" s="1185"/>
      <c r="BT498" s="1185"/>
      <c r="BU498" s="1185"/>
      <c r="BW498" s="1181"/>
    </row>
    <row r="499" spans="51:75">
      <c r="AY499" s="1184"/>
      <c r="AZ499" s="1189">
        <v>951</v>
      </c>
      <c r="BA499" s="1185">
        <v>5</v>
      </c>
      <c r="BB499" s="1188">
        <v>8.9499999999999993</v>
      </c>
      <c r="BC499" s="1187">
        <v>6</v>
      </c>
      <c r="BD499" s="1172">
        <v>4000</v>
      </c>
      <c r="BE499" s="1172">
        <v>5000</v>
      </c>
      <c r="BF499" s="1172">
        <v>6000</v>
      </c>
      <c r="BG499" s="1172">
        <v>8000</v>
      </c>
      <c r="BH499" s="1172">
        <v>12000</v>
      </c>
      <c r="BI499" s="1172">
        <v>16000</v>
      </c>
      <c r="BJ499" s="1185" t="s">
        <v>1894</v>
      </c>
      <c r="BK499" s="1185"/>
      <c r="BL499" s="1185" t="s">
        <v>1390</v>
      </c>
      <c r="BM499" s="1185"/>
      <c r="BN499" s="1186"/>
      <c r="BO499" s="1185" t="s">
        <v>1910</v>
      </c>
      <c r="BP499" s="1185"/>
      <c r="BQ499" s="1185"/>
      <c r="BR499" s="1185"/>
      <c r="BS499" s="1185"/>
      <c r="BT499" s="1185"/>
      <c r="BU499" s="1185"/>
      <c r="BW499" s="1181"/>
    </row>
    <row r="500" spans="51:75">
      <c r="AY500" s="1184"/>
      <c r="AZ500" s="1189">
        <v>952</v>
      </c>
      <c r="BA500" s="1185">
        <v>5</v>
      </c>
      <c r="BB500" s="1188">
        <v>8.9499999999999993</v>
      </c>
      <c r="BC500" s="1187">
        <v>6</v>
      </c>
      <c r="BD500" s="1172">
        <v>4000</v>
      </c>
      <c r="BE500" s="1172">
        <v>5000</v>
      </c>
      <c r="BF500" s="1172">
        <v>6000</v>
      </c>
      <c r="BG500" s="1172">
        <v>8000</v>
      </c>
      <c r="BH500" s="1172">
        <v>12000</v>
      </c>
      <c r="BI500" s="1172">
        <v>16000</v>
      </c>
      <c r="BJ500" s="1185" t="s">
        <v>1894</v>
      </c>
      <c r="BK500" s="1185"/>
      <c r="BL500" s="1185" t="s">
        <v>1390</v>
      </c>
      <c r="BM500" s="1185"/>
      <c r="BN500" s="1186"/>
      <c r="BO500" s="1185" t="s">
        <v>1909</v>
      </c>
      <c r="BP500" s="1185"/>
      <c r="BQ500" s="1185"/>
      <c r="BR500" s="1185"/>
      <c r="BS500" s="1185"/>
      <c r="BT500" s="1185"/>
      <c r="BU500" s="1185"/>
      <c r="BW500" s="1181"/>
    </row>
    <row r="501" spans="51:75">
      <c r="AY501" s="1184"/>
      <c r="AZ501" s="1189">
        <v>953</v>
      </c>
      <c r="BA501" s="1185">
        <v>5</v>
      </c>
      <c r="BB501" s="1188">
        <v>8.9499999999999993</v>
      </c>
      <c r="BC501" s="1187">
        <v>6</v>
      </c>
      <c r="BD501" s="1172">
        <v>4000</v>
      </c>
      <c r="BE501" s="1172">
        <v>5000</v>
      </c>
      <c r="BF501" s="1172">
        <v>6000</v>
      </c>
      <c r="BG501" s="1172">
        <v>8000</v>
      </c>
      <c r="BH501" s="1172">
        <v>12000</v>
      </c>
      <c r="BI501" s="1172">
        <v>16000</v>
      </c>
      <c r="BJ501" s="1185" t="s">
        <v>1894</v>
      </c>
      <c r="BK501" s="1185"/>
      <c r="BL501" s="1185" t="s">
        <v>1390</v>
      </c>
      <c r="BM501" s="1185"/>
      <c r="BN501" s="1186"/>
      <c r="BO501" s="1185" t="s">
        <v>1908</v>
      </c>
      <c r="BP501" s="1185"/>
      <c r="BQ501" s="1185"/>
      <c r="BR501" s="1185"/>
      <c r="BS501" s="1185"/>
      <c r="BT501" s="1185"/>
      <c r="BU501" s="1185"/>
      <c r="BW501" s="1181"/>
    </row>
    <row r="502" spans="51:75">
      <c r="AY502" s="1184"/>
      <c r="AZ502" s="1189">
        <v>954</v>
      </c>
      <c r="BA502" s="1185">
        <v>5</v>
      </c>
      <c r="BB502" s="1188">
        <v>8.9499999999999993</v>
      </c>
      <c r="BC502" s="1187">
        <v>6</v>
      </c>
      <c r="BD502" s="1172">
        <v>4000</v>
      </c>
      <c r="BE502" s="1172">
        <v>5000</v>
      </c>
      <c r="BF502" s="1172">
        <v>6000</v>
      </c>
      <c r="BG502" s="1172">
        <v>8000</v>
      </c>
      <c r="BH502" s="1172">
        <v>12000</v>
      </c>
      <c r="BI502" s="1172">
        <v>16000</v>
      </c>
      <c r="BJ502" s="1185" t="s">
        <v>1894</v>
      </c>
      <c r="BK502" s="1185"/>
      <c r="BL502" s="1185" t="s">
        <v>1390</v>
      </c>
      <c r="BM502" s="1185"/>
      <c r="BN502" s="1186">
        <v>0.45</v>
      </c>
      <c r="BO502" s="1185" t="s">
        <v>1907</v>
      </c>
      <c r="BP502" s="1185"/>
      <c r="BQ502" s="1185"/>
      <c r="BR502" s="1185"/>
      <c r="BS502" s="1172"/>
      <c r="BT502" s="1185"/>
      <c r="BU502" s="1185"/>
      <c r="BW502" s="1181"/>
    </row>
    <row r="503" spans="51:75">
      <c r="AY503" s="1184"/>
      <c r="AZ503" s="1189">
        <v>955</v>
      </c>
      <c r="BA503" s="1185">
        <v>8</v>
      </c>
      <c r="BB503" s="1188">
        <v>11.08</v>
      </c>
      <c r="BC503" s="1187">
        <v>6</v>
      </c>
      <c r="BD503" s="1172">
        <v>6000</v>
      </c>
      <c r="BE503" s="1172">
        <v>7000</v>
      </c>
      <c r="BF503" s="1172">
        <v>8000</v>
      </c>
      <c r="BG503" s="1172">
        <v>9000</v>
      </c>
      <c r="BH503" s="1172">
        <v>12000</v>
      </c>
      <c r="BI503" s="1172">
        <v>15000</v>
      </c>
      <c r="BJ503" s="1185" t="s">
        <v>1348</v>
      </c>
      <c r="BK503" s="1185"/>
      <c r="BL503" s="1185" t="s">
        <v>1390</v>
      </c>
      <c r="BM503" s="1185"/>
      <c r="BN503" s="1186"/>
      <c r="BO503" s="1185" t="s">
        <v>1906</v>
      </c>
      <c r="BP503" s="1185"/>
      <c r="BQ503" s="1185"/>
      <c r="BR503" s="1185"/>
      <c r="BS503" s="1185"/>
      <c r="BT503" s="1185"/>
      <c r="BU503" s="1185"/>
      <c r="BW503" s="1181"/>
    </row>
    <row r="504" spans="51:75">
      <c r="AY504" s="1184"/>
      <c r="AZ504" s="1189">
        <v>956</v>
      </c>
      <c r="BA504" s="1185">
        <v>8</v>
      </c>
      <c r="BB504" s="1188">
        <v>11.08</v>
      </c>
      <c r="BC504" s="1187">
        <v>6</v>
      </c>
      <c r="BD504" s="1172">
        <v>6000</v>
      </c>
      <c r="BE504" s="1172">
        <v>7000</v>
      </c>
      <c r="BF504" s="1172">
        <v>8000</v>
      </c>
      <c r="BG504" s="1172">
        <v>9000</v>
      </c>
      <c r="BH504" s="1172">
        <v>12000</v>
      </c>
      <c r="BI504" s="1172">
        <v>15000</v>
      </c>
      <c r="BJ504" s="1185" t="s">
        <v>1348</v>
      </c>
      <c r="BK504" s="1185"/>
      <c r="BL504" s="1185" t="s">
        <v>1390</v>
      </c>
      <c r="BM504" s="1185"/>
      <c r="BN504" s="1186"/>
      <c r="BO504" s="1185" t="s">
        <v>1905</v>
      </c>
      <c r="BP504" s="1185"/>
      <c r="BQ504" s="1185"/>
      <c r="BR504" s="1185"/>
      <c r="BS504" s="1185"/>
      <c r="BT504" s="1185"/>
      <c r="BU504" s="1185"/>
      <c r="BW504" s="1181"/>
    </row>
    <row r="505" spans="51:75">
      <c r="AY505" s="1184"/>
      <c r="AZ505" s="1189">
        <v>957</v>
      </c>
      <c r="BA505" s="1185">
        <v>8</v>
      </c>
      <c r="BB505" s="1188">
        <v>11.08</v>
      </c>
      <c r="BC505" s="1187">
        <v>6</v>
      </c>
      <c r="BD505" s="1172">
        <v>6000</v>
      </c>
      <c r="BE505" s="1172">
        <v>7000</v>
      </c>
      <c r="BF505" s="1172">
        <v>8000</v>
      </c>
      <c r="BG505" s="1172">
        <v>9000</v>
      </c>
      <c r="BH505" s="1172">
        <v>12000</v>
      </c>
      <c r="BI505" s="1172">
        <v>15000</v>
      </c>
      <c r="BJ505" s="1185" t="s">
        <v>1348</v>
      </c>
      <c r="BK505" s="1185"/>
      <c r="BL505" s="1185" t="s">
        <v>1390</v>
      </c>
      <c r="BM505" s="1185"/>
      <c r="BN505" s="1186"/>
      <c r="BO505" s="1185" t="s">
        <v>1904</v>
      </c>
      <c r="BP505" s="1185"/>
      <c r="BQ505" s="1185"/>
      <c r="BR505" s="1185"/>
      <c r="BS505" s="1185"/>
      <c r="BT505" s="1185"/>
      <c r="BU505" s="1185"/>
      <c r="BW505" s="1181"/>
    </row>
    <row r="506" spans="51:75">
      <c r="AY506" s="1184"/>
      <c r="AZ506" s="1189">
        <v>958</v>
      </c>
      <c r="BA506" s="1185">
        <v>8</v>
      </c>
      <c r="BB506" s="1188">
        <v>11.08</v>
      </c>
      <c r="BC506" s="1187">
        <v>6</v>
      </c>
      <c r="BD506" s="1172">
        <v>6000</v>
      </c>
      <c r="BE506" s="1172">
        <v>7000</v>
      </c>
      <c r="BF506" s="1172">
        <v>8000</v>
      </c>
      <c r="BG506" s="1172">
        <v>9000</v>
      </c>
      <c r="BH506" s="1172">
        <v>12000</v>
      </c>
      <c r="BI506" s="1172">
        <v>15000</v>
      </c>
      <c r="BJ506" s="1185" t="s">
        <v>1348</v>
      </c>
      <c r="BK506" s="1185"/>
      <c r="BL506" s="1185" t="s">
        <v>1390</v>
      </c>
      <c r="BM506" s="1185"/>
      <c r="BN506" s="1186">
        <v>0.45</v>
      </c>
      <c r="BO506" s="1185" t="s">
        <v>1903</v>
      </c>
      <c r="BP506" s="1185"/>
      <c r="BQ506" s="1185"/>
      <c r="BR506" s="1185"/>
      <c r="BS506" s="1185"/>
      <c r="BT506" s="1185"/>
      <c r="BU506" s="1185"/>
      <c r="BW506" s="1181"/>
    </row>
    <row r="507" spans="51:75">
      <c r="AY507" s="1184"/>
      <c r="AZ507" s="1189">
        <v>959</v>
      </c>
      <c r="BA507" s="1185">
        <v>5</v>
      </c>
      <c r="BB507" s="1188">
        <v>7.75</v>
      </c>
      <c r="BC507" s="1187">
        <v>5.7</v>
      </c>
      <c r="BD507" s="1172">
        <v>4000</v>
      </c>
      <c r="BE507" s="1172">
        <v>5000</v>
      </c>
      <c r="BF507" s="1172">
        <v>6000</v>
      </c>
      <c r="BG507" s="1172">
        <v>8000</v>
      </c>
      <c r="BH507" s="1172">
        <v>12000</v>
      </c>
      <c r="BI507" s="1172">
        <v>16000</v>
      </c>
      <c r="BJ507" s="1185" t="s">
        <v>1894</v>
      </c>
      <c r="BK507" s="1185"/>
      <c r="BL507" s="1185" t="s">
        <v>1333</v>
      </c>
      <c r="BM507" s="1185"/>
      <c r="BN507" s="1186"/>
      <c r="BO507" s="1185" t="s">
        <v>1902</v>
      </c>
      <c r="BP507" s="1185"/>
      <c r="BQ507" s="1185"/>
      <c r="BR507" s="1185"/>
      <c r="BS507" s="1185"/>
      <c r="BT507" s="1185"/>
      <c r="BU507" s="1185"/>
      <c r="BW507" s="1181"/>
    </row>
    <row r="508" spans="51:75">
      <c r="AY508" s="1184"/>
      <c r="AZ508" s="1189">
        <v>960</v>
      </c>
      <c r="BA508" s="1185">
        <v>5</v>
      </c>
      <c r="BB508" s="1188">
        <v>7.36</v>
      </c>
      <c r="BC508" s="1187">
        <v>6</v>
      </c>
      <c r="BD508" s="1172">
        <v>4000</v>
      </c>
      <c r="BE508" s="1172">
        <v>5000</v>
      </c>
      <c r="BF508" s="1172">
        <v>6000</v>
      </c>
      <c r="BG508" s="1172">
        <v>8000</v>
      </c>
      <c r="BH508" s="1172">
        <v>12000</v>
      </c>
      <c r="BI508" s="1172">
        <v>16000</v>
      </c>
      <c r="BJ508" s="1185" t="s">
        <v>1348</v>
      </c>
      <c r="BK508" s="1185"/>
      <c r="BL508" s="1185" t="s">
        <v>1390</v>
      </c>
      <c r="BM508" s="1185"/>
      <c r="BN508" s="1186"/>
      <c r="BO508" s="1185" t="s">
        <v>1901</v>
      </c>
      <c r="BP508" s="1185"/>
      <c r="BQ508" s="1185"/>
      <c r="BR508" s="1185"/>
      <c r="BS508" s="1185"/>
      <c r="BT508" s="1185"/>
      <c r="BU508" s="1185"/>
      <c r="BW508" s="1181"/>
    </row>
    <row r="509" spans="51:75">
      <c r="AY509" s="1184"/>
      <c r="AZ509" s="1189">
        <v>961</v>
      </c>
      <c r="BA509" s="1185">
        <v>5</v>
      </c>
      <c r="BB509" s="1188">
        <v>7.36</v>
      </c>
      <c r="BC509" s="1187">
        <v>6</v>
      </c>
      <c r="BD509" s="1172">
        <v>4000</v>
      </c>
      <c r="BE509" s="1172">
        <v>5000</v>
      </c>
      <c r="BF509" s="1172">
        <v>6000</v>
      </c>
      <c r="BG509" s="1172">
        <v>8000</v>
      </c>
      <c r="BH509" s="1172">
        <v>12000</v>
      </c>
      <c r="BI509" s="1172">
        <v>16000</v>
      </c>
      <c r="BJ509" s="1185" t="s">
        <v>1348</v>
      </c>
      <c r="BK509" s="1185"/>
      <c r="BL509" s="1185" t="s">
        <v>1390</v>
      </c>
      <c r="BM509" s="1185"/>
      <c r="BN509" s="1186"/>
      <c r="BO509" s="1185" t="s">
        <v>1900</v>
      </c>
      <c r="BP509" s="1185"/>
      <c r="BQ509" s="1185"/>
      <c r="BR509" s="1185"/>
      <c r="BS509" s="1185"/>
      <c r="BT509" s="1185"/>
      <c r="BU509" s="1185"/>
      <c r="BW509" s="1181"/>
    </row>
    <row r="510" spans="51:75">
      <c r="AY510" s="1184"/>
      <c r="AZ510" s="1189">
        <v>962</v>
      </c>
      <c r="BA510" s="1185">
        <v>5</v>
      </c>
      <c r="BB510" s="1188">
        <v>7.36</v>
      </c>
      <c r="BC510" s="1187">
        <v>6</v>
      </c>
      <c r="BD510" s="1172">
        <v>4000</v>
      </c>
      <c r="BE510" s="1172">
        <v>5000</v>
      </c>
      <c r="BF510" s="1172">
        <v>6000</v>
      </c>
      <c r="BG510" s="1172">
        <v>8000</v>
      </c>
      <c r="BH510" s="1172">
        <v>12000</v>
      </c>
      <c r="BI510" s="1172">
        <v>16000</v>
      </c>
      <c r="BJ510" s="1185" t="s">
        <v>1348</v>
      </c>
      <c r="BK510" s="1185"/>
      <c r="BL510" s="1185" t="s">
        <v>1390</v>
      </c>
      <c r="BM510" s="1185"/>
      <c r="BN510" s="1186"/>
      <c r="BO510" s="1185" t="s">
        <v>1899</v>
      </c>
      <c r="BP510" s="1185"/>
      <c r="BQ510" s="1185"/>
      <c r="BR510" s="1185"/>
      <c r="BS510" s="1185"/>
      <c r="BT510" s="1185"/>
      <c r="BU510" s="1185"/>
      <c r="BW510" s="1181"/>
    </row>
    <row r="511" spans="51:75">
      <c r="AY511" s="1184"/>
      <c r="AZ511" s="1189">
        <v>963</v>
      </c>
      <c r="BA511" s="1172">
        <v>12</v>
      </c>
      <c r="BB511" s="1188">
        <v>6.31</v>
      </c>
      <c r="BC511" s="1187">
        <v>6.2</v>
      </c>
      <c r="BD511" s="1172">
        <v>3000</v>
      </c>
      <c r="BE511" s="1172">
        <v>4000</v>
      </c>
      <c r="BF511" s="1172">
        <v>5000</v>
      </c>
      <c r="BG511" s="1172">
        <v>6000</v>
      </c>
      <c r="BH511" s="1172">
        <v>8000</v>
      </c>
      <c r="BI511" s="1172">
        <v>10000</v>
      </c>
      <c r="BJ511" s="1185" t="s">
        <v>1348</v>
      </c>
      <c r="BK511" s="1185"/>
      <c r="BL511" s="1185" t="s">
        <v>1333</v>
      </c>
      <c r="BM511" s="1185"/>
      <c r="BN511" s="1186"/>
      <c r="BO511" s="1185" t="s">
        <v>1898</v>
      </c>
      <c r="BP511" s="1185"/>
      <c r="BQ511" s="1185"/>
      <c r="BR511" s="1185"/>
      <c r="BS511" s="1185"/>
      <c r="BT511" s="1185"/>
      <c r="BU511" s="1185"/>
      <c r="BW511" s="1181"/>
    </row>
    <row r="512" spans="51:75">
      <c r="AY512" s="1184"/>
      <c r="AZ512" s="1189">
        <v>964</v>
      </c>
      <c r="BA512" s="1172">
        <v>12</v>
      </c>
      <c r="BB512" s="1188">
        <v>6.31</v>
      </c>
      <c r="BC512" s="1187">
        <v>6.2</v>
      </c>
      <c r="BD512" s="1172">
        <v>3000</v>
      </c>
      <c r="BE512" s="1172">
        <v>4000</v>
      </c>
      <c r="BF512" s="1172">
        <v>5000</v>
      </c>
      <c r="BG512" s="1172">
        <v>6000</v>
      </c>
      <c r="BH512" s="1172">
        <v>8000</v>
      </c>
      <c r="BI512" s="1172">
        <v>10000</v>
      </c>
      <c r="BJ512" s="1185" t="s">
        <v>1348</v>
      </c>
      <c r="BK512" s="1185"/>
      <c r="BL512" s="1185" t="s">
        <v>1333</v>
      </c>
      <c r="BM512" s="1185"/>
      <c r="BN512" s="1186">
        <v>0.2</v>
      </c>
      <c r="BO512" s="1185" t="s">
        <v>1897</v>
      </c>
      <c r="BP512" s="1185"/>
      <c r="BQ512" s="1185"/>
      <c r="BR512" s="1185"/>
      <c r="BS512" s="1185"/>
      <c r="BT512" s="1185"/>
      <c r="BU512" s="1185"/>
      <c r="BW512" s="1181"/>
    </row>
    <row r="513" spans="47:75">
      <c r="AY513" s="1184"/>
      <c r="AZ513" s="1189">
        <v>965</v>
      </c>
      <c r="BA513" s="1172">
        <v>13</v>
      </c>
      <c r="BB513" s="1188">
        <v>10.66</v>
      </c>
      <c r="BC513" s="1187">
        <v>6.2</v>
      </c>
      <c r="BD513" s="1172">
        <v>4000</v>
      </c>
      <c r="BE513" s="1172">
        <v>6000</v>
      </c>
      <c r="BF513" s="1172">
        <v>8000</v>
      </c>
      <c r="BG513" s="1172">
        <v>9000</v>
      </c>
      <c r="BH513" s="1172">
        <v>12000</v>
      </c>
      <c r="BI513" s="1172">
        <v>15000</v>
      </c>
      <c r="BJ513" s="1185" t="s">
        <v>1892</v>
      </c>
      <c r="BK513" s="1185"/>
      <c r="BL513" s="1185" t="s">
        <v>1333</v>
      </c>
      <c r="BM513" s="1185"/>
      <c r="BN513" s="1186"/>
      <c r="BO513" s="1185" t="s">
        <v>1896</v>
      </c>
      <c r="BP513" s="1185"/>
      <c r="BQ513" s="1185"/>
      <c r="BR513" s="1185"/>
      <c r="BS513" s="1185"/>
      <c r="BT513" s="1185"/>
      <c r="BU513" s="1185"/>
      <c r="BW513" s="1181"/>
    </row>
    <row r="514" spans="47:75">
      <c r="AY514" s="1184"/>
      <c r="AZ514" s="1189">
        <v>966</v>
      </c>
      <c r="BA514" s="1172">
        <v>13</v>
      </c>
      <c r="BB514" s="1188">
        <v>10.66</v>
      </c>
      <c r="BC514" s="1187">
        <v>6.2</v>
      </c>
      <c r="BD514" s="1172">
        <v>4000</v>
      </c>
      <c r="BE514" s="1172">
        <v>6000</v>
      </c>
      <c r="BF514" s="1172">
        <v>8000</v>
      </c>
      <c r="BG514" s="1172">
        <v>9000</v>
      </c>
      <c r="BH514" s="1172">
        <v>12000</v>
      </c>
      <c r="BI514" s="1172">
        <v>15000</v>
      </c>
      <c r="BJ514" s="1185" t="s">
        <v>1892</v>
      </c>
      <c r="BK514" s="1185"/>
      <c r="BL514" s="1185" t="s">
        <v>1333</v>
      </c>
      <c r="BM514" s="1185"/>
      <c r="BN514" s="1186">
        <v>0.2</v>
      </c>
      <c r="BO514" s="1185" t="s">
        <v>1895</v>
      </c>
      <c r="BP514" s="1185"/>
      <c r="BQ514" s="1185"/>
      <c r="BR514" s="1185"/>
      <c r="BS514" s="1185"/>
      <c r="BT514" s="1185"/>
      <c r="BU514" s="1185"/>
      <c r="BW514" s="1181"/>
    </row>
    <row r="515" spans="47:75">
      <c r="AY515" s="1184"/>
      <c r="AZ515" s="1189">
        <v>967</v>
      </c>
      <c r="BA515" s="1185">
        <v>5</v>
      </c>
      <c r="BB515" s="1188">
        <v>1.63</v>
      </c>
      <c r="BC515" s="1187">
        <v>5.7</v>
      </c>
      <c r="BD515" s="1172">
        <v>4000</v>
      </c>
      <c r="BE515" s="1172">
        <v>5000</v>
      </c>
      <c r="BF515" s="1172">
        <v>6000</v>
      </c>
      <c r="BG515" s="1172">
        <v>8000</v>
      </c>
      <c r="BH515" s="1172">
        <v>12000</v>
      </c>
      <c r="BI515" s="1172">
        <v>16000</v>
      </c>
      <c r="BJ515" s="1185" t="s">
        <v>1894</v>
      </c>
      <c r="BK515" s="1185"/>
      <c r="BL515" s="1185" t="s">
        <v>1390</v>
      </c>
      <c r="BM515" s="1185"/>
      <c r="BN515" s="1186"/>
      <c r="BO515" s="1185" t="s">
        <v>1893</v>
      </c>
      <c r="BP515" s="1185"/>
      <c r="BQ515" s="1185"/>
      <c r="BR515" s="1185"/>
      <c r="BS515" s="1185"/>
      <c r="BT515" s="1185"/>
      <c r="BU515" s="1185"/>
      <c r="BW515" s="1181"/>
    </row>
    <row r="516" spans="47:75">
      <c r="AY516" s="1184"/>
      <c r="AZ516" s="1189">
        <v>968</v>
      </c>
      <c r="BA516" s="1172">
        <v>13</v>
      </c>
      <c r="BB516" s="1188">
        <v>10.66</v>
      </c>
      <c r="BC516" s="1187">
        <v>6.2</v>
      </c>
      <c r="BD516" s="1172">
        <v>4000</v>
      </c>
      <c r="BE516" s="1172">
        <v>6000</v>
      </c>
      <c r="BF516" s="1172">
        <v>8000</v>
      </c>
      <c r="BG516" s="1172">
        <v>9000</v>
      </c>
      <c r="BH516" s="1172">
        <v>12000</v>
      </c>
      <c r="BI516" s="1172">
        <v>15000</v>
      </c>
      <c r="BJ516" s="1185" t="s">
        <v>1892</v>
      </c>
      <c r="BK516" s="1185"/>
      <c r="BL516" s="1185" t="s">
        <v>1333</v>
      </c>
      <c r="BM516" s="1185"/>
      <c r="BN516" s="1186"/>
      <c r="BO516" s="1185" t="s">
        <v>1891</v>
      </c>
      <c r="BP516" s="1185"/>
      <c r="BQ516" s="1185"/>
      <c r="BR516" s="1185"/>
      <c r="BS516" s="1185"/>
      <c r="BT516" s="1185"/>
      <c r="BU516" s="1185"/>
      <c r="BW516" s="1181"/>
    </row>
    <row r="517" spans="47:75">
      <c r="AY517" s="1184"/>
      <c r="AZ517" s="1189">
        <v>969</v>
      </c>
      <c r="BA517" s="1172">
        <v>12</v>
      </c>
      <c r="BB517" s="1188">
        <v>6.31</v>
      </c>
      <c r="BC517" s="1187">
        <v>6.2</v>
      </c>
      <c r="BD517" s="1172">
        <v>3000</v>
      </c>
      <c r="BE517" s="1172">
        <v>4000</v>
      </c>
      <c r="BF517" s="1172">
        <v>5000</v>
      </c>
      <c r="BG517" s="1172">
        <v>6000</v>
      </c>
      <c r="BH517" s="1172">
        <v>8000</v>
      </c>
      <c r="BI517" s="1172">
        <v>10000</v>
      </c>
      <c r="BJ517" s="1185" t="s">
        <v>1348</v>
      </c>
      <c r="BK517" s="1185"/>
      <c r="BL517" s="1185" t="s">
        <v>1333</v>
      </c>
      <c r="BM517" s="1185"/>
      <c r="BN517" s="1186"/>
      <c r="BO517" s="1185" t="s">
        <v>1890</v>
      </c>
      <c r="BP517" s="1185"/>
      <c r="BQ517" s="1185"/>
      <c r="BR517" s="1185"/>
      <c r="BS517" s="1185"/>
      <c r="BT517" s="1185"/>
      <c r="BU517" s="1185"/>
      <c r="BW517" s="1181"/>
    </row>
    <row r="518" spans="47:75">
      <c r="AY518" s="1184"/>
      <c r="AZ518" s="1189">
        <v>970</v>
      </c>
      <c r="BA518" s="1185">
        <v>15</v>
      </c>
      <c r="BB518" s="1188">
        <v>14.92</v>
      </c>
      <c r="BC518" s="1187">
        <v>6.4</v>
      </c>
      <c r="BD518" s="1172">
        <v>4000</v>
      </c>
      <c r="BE518" s="1172">
        <v>6000</v>
      </c>
      <c r="BF518" s="1172">
        <v>8000</v>
      </c>
      <c r="BG518" s="1172">
        <v>8000</v>
      </c>
      <c r="BH518" s="1172">
        <v>10000</v>
      </c>
      <c r="BI518" s="1172">
        <v>12000</v>
      </c>
      <c r="BJ518" s="1185" t="s">
        <v>1348</v>
      </c>
      <c r="BK518" s="1185"/>
      <c r="BL518" s="1185" t="s">
        <v>1390</v>
      </c>
      <c r="BM518" s="1185"/>
      <c r="BN518" s="1186">
        <v>0.2</v>
      </c>
      <c r="BO518" s="1185" t="s">
        <v>1889</v>
      </c>
      <c r="BP518" s="1185"/>
      <c r="BQ518" s="1185"/>
      <c r="BR518" s="1185"/>
      <c r="BS518" s="1185"/>
      <c r="BT518" s="1185"/>
      <c r="BU518" s="1185"/>
      <c r="BW518" s="1181"/>
    </row>
    <row r="519" spans="47:75">
      <c r="AY519" s="1184"/>
      <c r="AZ519" s="1189">
        <v>971</v>
      </c>
      <c r="BA519" s="1185">
        <v>11</v>
      </c>
      <c r="BB519" s="1188">
        <v>3.4</v>
      </c>
      <c r="BC519" s="1187">
        <v>5.8</v>
      </c>
      <c r="BD519" s="1172">
        <v>3000</v>
      </c>
      <c r="BE519" s="1172">
        <v>4000</v>
      </c>
      <c r="BF519" s="1172">
        <v>5000</v>
      </c>
      <c r="BG519" s="1172">
        <v>7000</v>
      </c>
      <c r="BH519" s="1172">
        <v>8000</v>
      </c>
      <c r="BI519" s="1172">
        <v>9000</v>
      </c>
      <c r="BJ519" s="1185" t="s">
        <v>1348</v>
      </c>
      <c r="BK519" s="1185"/>
      <c r="BL519" s="1185" t="s">
        <v>1390</v>
      </c>
      <c r="BM519" s="1185"/>
      <c r="BN519" s="1186"/>
      <c r="BO519" s="1185" t="s">
        <v>1888</v>
      </c>
      <c r="BP519" s="1185"/>
      <c r="BQ519" s="1185"/>
      <c r="BR519" s="1185"/>
      <c r="BS519" s="1185"/>
      <c r="BT519" s="1185"/>
      <c r="BU519" s="1185"/>
      <c r="BW519" s="1181"/>
    </row>
    <row r="520" spans="47:75">
      <c r="AY520" s="1184"/>
      <c r="AZ520" s="1183"/>
      <c r="BN520" s="1182"/>
      <c r="BW520" s="1181"/>
    </row>
    <row r="521" spans="47:75">
      <c r="AY521" s="1184"/>
      <c r="AZ521" s="1183"/>
      <c r="BN521" s="1182"/>
      <c r="BW521" s="1181"/>
    </row>
    <row r="522" spans="47:75">
      <c r="AY522" s="1184"/>
      <c r="AZ522" s="1183"/>
      <c r="BN522" s="1182"/>
      <c r="BW522" s="1181"/>
    </row>
    <row r="523" spans="47:75">
      <c r="AU523" s="1060" t="s">
        <v>1887</v>
      </c>
      <c r="AY523" s="1184"/>
      <c r="AZ523" s="1183" t="s">
        <v>760</v>
      </c>
      <c r="BA523" s="1172">
        <v>1</v>
      </c>
      <c r="BB523" s="1152">
        <v>0.61</v>
      </c>
      <c r="BC523" s="1097">
        <v>8</v>
      </c>
      <c r="BD523" s="1061">
        <v>400</v>
      </c>
      <c r="BE523" s="1061">
        <v>800</v>
      </c>
      <c r="BF523" s="1061">
        <v>1200</v>
      </c>
      <c r="BG523" s="1061">
        <v>1500</v>
      </c>
      <c r="BH523" s="1061">
        <v>2000</v>
      </c>
      <c r="BI523" s="1061">
        <v>2500</v>
      </c>
      <c r="BJ523" s="1060" t="s">
        <v>1320</v>
      </c>
      <c r="BL523" s="1060" t="s">
        <v>1329</v>
      </c>
      <c r="BN523" s="1182"/>
      <c r="BO523" s="1060" t="s">
        <v>1886</v>
      </c>
      <c r="BW523" s="1181"/>
    </row>
    <row r="524" spans="47:75">
      <c r="AU524" s="1060" t="s">
        <v>1885</v>
      </c>
      <c r="AY524" s="1184"/>
      <c r="AZ524" s="1183" t="s">
        <v>762</v>
      </c>
      <c r="BA524" s="1172">
        <v>1</v>
      </c>
      <c r="BB524" s="1152">
        <v>0.61</v>
      </c>
      <c r="BC524" s="1097">
        <v>8</v>
      </c>
      <c r="BD524" s="1061">
        <v>400</v>
      </c>
      <c r="BE524" s="1061">
        <v>800</v>
      </c>
      <c r="BF524" s="1061">
        <v>1200</v>
      </c>
      <c r="BG524" s="1061">
        <v>1500</v>
      </c>
      <c r="BH524" s="1061">
        <v>2000</v>
      </c>
      <c r="BI524" s="1061">
        <v>2500</v>
      </c>
      <c r="BJ524" s="1060" t="s">
        <v>1320</v>
      </c>
      <c r="BL524" s="1060" t="s">
        <v>1329</v>
      </c>
      <c r="BN524" s="1182"/>
      <c r="BO524" s="1060" t="s">
        <v>1884</v>
      </c>
      <c r="BW524" s="1181"/>
    </row>
    <row r="525" spans="47:75">
      <c r="AU525" s="1060" t="s">
        <v>1883</v>
      </c>
      <c r="AY525" s="1184"/>
      <c r="AZ525" s="1183" t="s">
        <v>764</v>
      </c>
      <c r="BA525" s="1172">
        <v>1</v>
      </c>
      <c r="BB525" s="1152">
        <v>0.61</v>
      </c>
      <c r="BC525" s="1097">
        <v>8</v>
      </c>
      <c r="BD525" s="1061">
        <v>400</v>
      </c>
      <c r="BE525" s="1061">
        <v>800</v>
      </c>
      <c r="BF525" s="1061">
        <v>1200</v>
      </c>
      <c r="BG525" s="1061">
        <v>1500</v>
      </c>
      <c r="BH525" s="1061">
        <v>2000</v>
      </c>
      <c r="BI525" s="1061">
        <v>2500</v>
      </c>
      <c r="BJ525" s="1060" t="s">
        <v>1320</v>
      </c>
      <c r="BL525" s="1060" t="s">
        <v>1329</v>
      </c>
      <c r="BN525" s="1182"/>
      <c r="BO525" s="1060" t="s">
        <v>1882</v>
      </c>
      <c r="BW525" s="1181"/>
    </row>
    <row r="526" spans="47:75">
      <c r="AY526" s="1184"/>
      <c r="AZ526" s="1183" t="s">
        <v>1049</v>
      </c>
      <c r="BA526" s="1172">
        <v>6</v>
      </c>
      <c r="BB526" s="1152">
        <v>1.89</v>
      </c>
      <c r="BC526" s="1097">
        <v>5.6</v>
      </c>
      <c r="BD526" s="1061">
        <v>7000</v>
      </c>
      <c r="BE526" s="1061">
        <v>9000</v>
      </c>
      <c r="BF526" s="1061">
        <v>11000</v>
      </c>
      <c r="BG526" s="1061">
        <v>15000</v>
      </c>
      <c r="BH526" s="1061">
        <v>18500</v>
      </c>
      <c r="BI526" s="1061">
        <v>22000</v>
      </c>
      <c r="BJ526" s="1060" t="s">
        <v>1320</v>
      </c>
      <c r="BL526" s="1060" t="s">
        <v>1324</v>
      </c>
      <c r="BN526" s="1182"/>
      <c r="BO526" s="1060" t="s">
        <v>1881</v>
      </c>
      <c r="BW526" s="1181"/>
    </row>
    <row r="527" spans="47:75">
      <c r="AY527" s="1184"/>
      <c r="AZ527" s="1183" t="s">
        <v>1050</v>
      </c>
      <c r="BA527" s="1172">
        <v>6</v>
      </c>
      <c r="BB527" s="1152">
        <v>1.89</v>
      </c>
      <c r="BC527" s="1097">
        <v>5.6</v>
      </c>
      <c r="BD527" s="1061">
        <v>7000</v>
      </c>
      <c r="BE527" s="1061">
        <v>9000</v>
      </c>
      <c r="BF527" s="1061">
        <v>11000</v>
      </c>
      <c r="BG527" s="1061">
        <v>15000</v>
      </c>
      <c r="BH527" s="1061">
        <v>18500</v>
      </c>
      <c r="BI527" s="1061">
        <v>22000</v>
      </c>
      <c r="BJ527" s="1060" t="s">
        <v>1320</v>
      </c>
      <c r="BL527" s="1060" t="s">
        <v>1324</v>
      </c>
      <c r="BN527" s="1182"/>
      <c r="BO527" s="1060" t="s">
        <v>1880</v>
      </c>
      <c r="BW527" s="1181"/>
    </row>
    <row r="528" spans="47:75">
      <c r="AY528" s="1184"/>
      <c r="AZ528" s="1183" t="s">
        <v>1054</v>
      </c>
      <c r="BA528" s="1172">
        <v>6</v>
      </c>
      <c r="BB528" s="1152">
        <v>1.94</v>
      </c>
      <c r="BC528" s="1097">
        <v>5.0999999999999996</v>
      </c>
      <c r="BD528" s="1061">
        <v>7000</v>
      </c>
      <c r="BE528" s="1061">
        <v>9000</v>
      </c>
      <c r="BF528" s="1061">
        <v>11000</v>
      </c>
      <c r="BG528" s="1061">
        <v>15000</v>
      </c>
      <c r="BH528" s="1061">
        <v>18500</v>
      </c>
      <c r="BI528" s="1061">
        <v>22000</v>
      </c>
      <c r="BJ528" s="1060" t="s">
        <v>1320</v>
      </c>
      <c r="BL528" s="1060" t="s">
        <v>1333</v>
      </c>
      <c r="BN528" s="1182"/>
      <c r="BO528" s="1060" t="s">
        <v>1879</v>
      </c>
      <c r="BW528" s="1181"/>
    </row>
    <row r="529" spans="51:75">
      <c r="AY529" s="1184"/>
      <c r="AZ529" s="1183" t="s">
        <v>1055</v>
      </c>
      <c r="BA529" s="1172">
        <v>6</v>
      </c>
      <c r="BB529" s="1152">
        <v>1.49</v>
      </c>
      <c r="BC529" s="1097">
        <v>5.6</v>
      </c>
      <c r="BD529" s="1061">
        <v>7000</v>
      </c>
      <c r="BE529" s="1061">
        <v>9000</v>
      </c>
      <c r="BF529" s="1061">
        <v>11000</v>
      </c>
      <c r="BG529" s="1061">
        <v>15000</v>
      </c>
      <c r="BH529" s="1061">
        <v>18500</v>
      </c>
      <c r="BI529" s="1061">
        <v>22000</v>
      </c>
      <c r="BJ529" s="1060" t="s">
        <v>1320</v>
      </c>
      <c r="BL529" s="1060" t="s">
        <v>1333</v>
      </c>
      <c r="BN529" s="1182"/>
      <c r="BO529" s="1060" t="s">
        <v>1878</v>
      </c>
      <c r="BW529" s="1181"/>
    </row>
    <row r="530" spans="51:75">
      <c r="AY530" s="1184"/>
      <c r="AZ530" s="1183" t="s">
        <v>1051</v>
      </c>
      <c r="BA530" s="1172">
        <v>6</v>
      </c>
      <c r="BB530" s="1152">
        <v>1.94</v>
      </c>
      <c r="BC530" s="1097">
        <v>5.0999999999999996</v>
      </c>
      <c r="BD530" s="1061">
        <v>7000</v>
      </c>
      <c r="BE530" s="1061">
        <v>9000</v>
      </c>
      <c r="BF530" s="1061">
        <v>11000</v>
      </c>
      <c r="BG530" s="1061">
        <v>15000</v>
      </c>
      <c r="BH530" s="1061">
        <v>18500</v>
      </c>
      <c r="BI530" s="1061">
        <v>22000</v>
      </c>
      <c r="BJ530" s="1060" t="s">
        <v>1320</v>
      </c>
      <c r="BL530" s="1060" t="s">
        <v>1333</v>
      </c>
      <c r="BN530" s="1182"/>
      <c r="BO530" s="1060" t="s">
        <v>1877</v>
      </c>
      <c r="BW530" s="1181"/>
    </row>
    <row r="531" spans="51:75">
      <c r="AY531" s="1184"/>
      <c r="AZ531" s="1183" t="s">
        <v>1052</v>
      </c>
      <c r="BA531" s="1172">
        <v>6</v>
      </c>
      <c r="BB531" s="1152">
        <v>1.49</v>
      </c>
      <c r="BC531" s="1097">
        <v>5.6</v>
      </c>
      <c r="BD531" s="1061">
        <v>7000</v>
      </c>
      <c r="BE531" s="1061">
        <v>9000</v>
      </c>
      <c r="BF531" s="1061">
        <v>11000</v>
      </c>
      <c r="BG531" s="1061">
        <v>15000</v>
      </c>
      <c r="BH531" s="1061">
        <v>18500</v>
      </c>
      <c r="BI531" s="1061">
        <v>22000</v>
      </c>
      <c r="BJ531" s="1060" t="s">
        <v>1320</v>
      </c>
      <c r="BL531" s="1060" t="s">
        <v>1333</v>
      </c>
      <c r="BN531" s="1182"/>
      <c r="BO531" s="1060" t="s">
        <v>1876</v>
      </c>
      <c r="BW531" s="1181"/>
    </row>
    <row r="532" spans="51:75">
      <c r="AY532" s="1184"/>
      <c r="AZ532" s="1183" t="s">
        <v>1053</v>
      </c>
      <c r="BA532" s="1172">
        <v>6</v>
      </c>
      <c r="BB532" s="1152">
        <v>3.42</v>
      </c>
      <c r="BC532" s="1097">
        <v>5.2</v>
      </c>
      <c r="BD532" s="1061">
        <v>7000</v>
      </c>
      <c r="BE532" s="1061">
        <v>9000</v>
      </c>
      <c r="BF532" s="1061">
        <v>11000</v>
      </c>
      <c r="BG532" s="1061">
        <v>15000</v>
      </c>
      <c r="BH532" s="1061">
        <v>18500</v>
      </c>
      <c r="BI532" s="1061">
        <v>22000</v>
      </c>
      <c r="BJ532" s="1060" t="s">
        <v>1320</v>
      </c>
      <c r="BL532" s="1060" t="s">
        <v>1333</v>
      </c>
      <c r="BN532" s="1182"/>
      <c r="BO532" s="1060" t="s">
        <v>1875</v>
      </c>
      <c r="BW532" s="1181"/>
    </row>
    <row r="533" spans="51:75">
      <c r="AY533" s="1184"/>
      <c r="AZ533" s="1183" t="s">
        <v>1874</v>
      </c>
      <c r="BB533" s="1152">
        <v>0</v>
      </c>
      <c r="BN533" s="1182"/>
      <c r="BO533" s="1060" t="s">
        <v>1873</v>
      </c>
      <c r="BW533" s="1181"/>
    </row>
    <row r="534" spans="51:75">
      <c r="AY534" s="1184"/>
      <c r="AZ534" s="1183" t="s">
        <v>1872</v>
      </c>
      <c r="BB534" s="1152">
        <v>0</v>
      </c>
      <c r="BN534" s="1182"/>
      <c r="BO534" s="1060" t="s">
        <v>1871</v>
      </c>
      <c r="BW534" s="1181"/>
    </row>
    <row r="535" spans="51:75">
      <c r="AY535" s="1184"/>
      <c r="AZ535" s="1183" t="s">
        <v>1870</v>
      </c>
      <c r="BN535" s="1182"/>
      <c r="BO535" s="1060" t="s">
        <v>1869</v>
      </c>
      <c r="BW535" s="1181"/>
    </row>
    <row r="536" spans="51:75">
      <c r="AY536" s="1184"/>
      <c r="AZ536" s="1183" t="s">
        <v>1868</v>
      </c>
      <c r="BB536" s="1152">
        <v>0.05</v>
      </c>
      <c r="BC536" s="1097">
        <v>7</v>
      </c>
      <c r="BN536" s="1182"/>
      <c r="BO536" s="1060" t="s">
        <v>1867</v>
      </c>
      <c r="BW536" s="1181"/>
    </row>
    <row r="537" spans="51:75">
      <c r="AY537" s="1184"/>
      <c r="AZ537" s="1183" t="s">
        <v>1866</v>
      </c>
      <c r="BB537" s="1152">
        <v>0.1</v>
      </c>
      <c r="BC537" s="1097">
        <v>6.5</v>
      </c>
      <c r="BL537" s="1060" t="s">
        <v>1333</v>
      </c>
      <c r="BN537" s="1182"/>
      <c r="BO537" s="1060" t="s">
        <v>1865</v>
      </c>
      <c r="BW537" s="1181"/>
    </row>
    <row r="538" spans="51:75">
      <c r="AY538" s="1184"/>
      <c r="AZ538" s="1183" t="s">
        <v>1864</v>
      </c>
      <c r="BB538" s="1152">
        <v>3.08</v>
      </c>
      <c r="BC538" s="1097">
        <v>7</v>
      </c>
      <c r="BJ538" s="1060" t="s">
        <v>1320</v>
      </c>
      <c r="BL538" s="1060" t="s">
        <v>1390</v>
      </c>
      <c r="BN538" s="1182"/>
      <c r="BO538" s="1060" t="s">
        <v>1863</v>
      </c>
      <c r="BW538" s="1181"/>
    </row>
    <row r="539" spans="51:75">
      <c r="AY539" s="1184"/>
      <c r="AZ539" s="1183" t="s">
        <v>1862</v>
      </c>
      <c r="BN539" s="1182"/>
      <c r="BO539" s="1060" t="s">
        <v>1861</v>
      </c>
      <c r="BW539" s="1181"/>
    </row>
    <row r="540" spans="51:75">
      <c r="AY540" s="1184"/>
      <c r="AZ540" s="1183" t="s">
        <v>1860</v>
      </c>
      <c r="BB540" s="1152">
        <v>0.2</v>
      </c>
      <c r="BN540" s="1182"/>
      <c r="BO540" s="1060" t="s">
        <v>1859</v>
      </c>
      <c r="BW540" s="1181"/>
    </row>
    <row r="541" spans="51:75">
      <c r="AY541" s="1184"/>
      <c r="AZ541" s="1183" t="s">
        <v>1858</v>
      </c>
      <c r="BB541" s="1152">
        <v>0.05</v>
      </c>
      <c r="BC541" s="1097">
        <v>7.5</v>
      </c>
      <c r="BN541" s="1182"/>
      <c r="BO541" s="1060" t="s">
        <v>1857</v>
      </c>
      <c r="BW541" s="1181"/>
    </row>
    <row r="542" spans="51:75">
      <c r="AY542" s="1184"/>
      <c r="AZ542" s="1183" t="s">
        <v>813</v>
      </c>
      <c r="BA542" s="1172">
        <v>2</v>
      </c>
      <c r="BB542" s="1152">
        <v>1.22</v>
      </c>
      <c r="BC542" s="1097">
        <v>7.1</v>
      </c>
      <c r="BD542" s="1061">
        <v>700</v>
      </c>
      <c r="BE542" s="1061">
        <v>1200</v>
      </c>
      <c r="BF542" s="1061">
        <v>1700</v>
      </c>
      <c r="BG542" s="1061">
        <v>2000</v>
      </c>
      <c r="BH542" s="1061">
        <v>2500</v>
      </c>
      <c r="BI542" s="1061">
        <v>3000</v>
      </c>
      <c r="BJ542" s="1060" t="s">
        <v>1320</v>
      </c>
      <c r="BL542" s="1060" t="s">
        <v>1721</v>
      </c>
      <c r="BN542" s="1182"/>
      <c r="BO542" s="1060" t="s">
        <v>1856</v>
      </c>
      <c r="BW542" s="1181"/>
    </row>
    <row r="543" spans="51:75">
      <c r="AY543" s="1184"/>
      <c r="AZ543" s="1183" t="s">
        <v>815</v>
      </c>
      <c r="BA543" s="1172">
        <v>2</v>
      </c>
      <c r="BB543" s="1152">
        <v>1.52</v>
      </c>
      <c r="BC543" s="1097">
        <v>7</v>
      </c>
      <c r="BD543" s="1061">
        <v>700</v>
      </c>
      <c r="BE543" s="1061">
        <v>1200</v>
      </c>
      <c r="BF543" s="1061">
        <v>1700</v>
      </c>
      <c r="BG543" s="1061">
        <v>2000</v>
      </c>
      <c r="BH543" s="1061">
        <v>2500</v>
      </c>
      <c r="BI543" s="1061">
        <v>3000</v>
      </c>
      <c r="BJ543" s="1060" t="s">
        <v>1320</v>
      </c>
      <c r="BL543" s="1060" t="s">
        <v>1329</v>
      </c>
      <c r="BN543" s="1182"/>
      <c r="BO543" s="1060" t="s">
        <v>1855</v>
      </c>
      <c r="BW543" s="1181"/>
    </row>
    <row r="544" spans="51:75">
      <c r="AY544" s="1184"/>
      <c r="AZ544" s="1183" t="s">
        <v>818</v>
      </c>
      <c r="BA544" s="1172">
        <v>2</v>
      </c>
      <c r="BB544" s="1152">
        <v>1.49</v>
      </c>
      <c r="BC544" s="1097">
        <v>7</v>
      </c>
      <c r="BD544" s="1061">
        <v>700</v>
      </c>
      <c r="BE544" s="1061">
        <v>1200</v>
      </c>
      <c r="BF544" s="1061">
        <v>1700</v>
      </c>
      <c r="BG544" s="1061">
        <v>2000</v>
      </c>
      <c r="BH544" s="1061">
        <v>2500</v>
      </c>
      <c r="BI544" s="1061">
        <v>3000</v>
      </c>
      <c r="BJ544" s="1060" t="s">
        <v>1320</v>
      </c>
      <c r="BL544" s="1060" t="s">
        <v>1329</v>
      </c>
      <c r="BN544" s="1182"/>
      <c r="BO544" s="1060" t="s">
        <v>1854</v>
      </c>
      <c r="BW544" s="1181"/>
    </row>
    <row r="545" spans="51:75">
      <c r="AY545" s="1184"/>
      <c r="AZ545" s="1183" t="s">
        <v>827</v>
      </c>
      <c r="BA545" s="1172">
        <v>2</v>
      </c>
      <c r="BB545" s="1152">
        <v>1.22</v>
      </c>
      <c r="BC545" s="1097">
        <v>7.1</v>
      </c>
      <c r="BD545" s="1061">
        <v>700</v>
      </c>
      <c r="BE545" s="1061">
        <v>1200</v>
      </c>
      <c r="BF545" s="1061">
        <v>1700</v>
      </c>
      <c r="BG545" s="1061">
        <v>2000</v>
      </c>
      <c r="BH545" s="1061">
        <v>2500</v>
      </c>
      <c r="BI545" s="1061">
        <v>3000</v>
      </c>
      <c r="BJ545" s="1060" t="s">
        <v>1320</v>
      </c>
      <c r="BL545" s="1060" t="s">
        <v>1721</v>
      </c>
      <c r="BN545" s="1182"/>
      <c r="BO545" s="1060" t="s">
        <v>1853</v>
      </c>
      <c r="BW545" s="1181"/>
    </row>
    <row r="546" spans="51:75">
      <c r="AY546" s="1184"/>
      <c r="AZ546" s="1183" t="s">
        <v>828</v>
      </c>
      <c r="BA546" s="1172">
        <v>2</v>
      </c>
      <c r="BB546" s="1152">
        <v>1.22</v>
      </c>
      <c r="BC546" s="1097">
        <v>7.1</v>
      </c>
      <c r="BD546" s="1061">
        <v>700</v>
      </c>
      <c r="BE546" s="1061">
        <v>1200</v>
      </c>
      <c r="BF546" s="1061">
        <v>1700</v>
      </c>
      <c r="BG546" s="1061">
        <v>2000</v>
      </c>
      <c r="BH546" s="1061">
        <v>2500</v>
      </c>
      <c r="BI546" s="1061">
        <v>3000</v>
      </c>
      <c r="BJ546" s="1060" t="s">
        <v>1320</v>
      </c>
      <c r="BL546" s="1060" t="s">
        <v>1721</v>
      </c>
      <c r="BN546" s="1182"/>
      <c r="BO546" s="1060" t="s">
        <v>1852</v>
      </c>
      <c r="BW546" s="1181"/>
    </row>
    <row r="547" spans="51:75">
      <c r="AY547" s="1184"/>
      <c r="AZ547" s="1183" t="s">
        <v>831</v>
      </c>
      <c r="BA547" s="1172">
        <v>2</v>
      </c>
      <c r="BB547" s="1152">
        <v>1.75</v>
      </c>
      <c r="BC547" s="1097">
        <v>7</v>
      </c>
      <c r="BD547" s="1061">
        <v>700</v>
      </c>
      <c r="BE547" s="1061">
        <v>1200</v>
      </c>
      <c r="BF547" s="1061">
        <v>1700</v>
      </c>
      <c r="BG547" s="1061">
        <v>2000</v>
      </c>
      <c r="BH547" s="1061">
        <v>2500</v>
      </c>
      <c r="BI547" s="1061">
        <v>3000</v>
      </c>
      <c r="BJ547" s="1060" t="s">
        <v>1320</v>
      </c>
      <c r="BL547" s="1060" t="s">
        <v>1329</v>
      </c>
      <c r="BN547" s="1182"/>
      <c r="BO547" s="1060" t="s">
        <v>1851</v>
      </c>
      <c r="BW547" s="1181"/>
    </row>
    <row r="548" spans="51:75">
      <c r="AY548" s="1184"/>
      <c r="AZ548" s="1183" t="s">
        <v>819</v>
      </c>
      <c r="BA548" s="1172">
        <v>2</v>
      </c>
      <c r="BB548" s="1152">
        <v>1.75</v>
      </c>
      <c r="BC548" s="1097">
        <v>7</v>
      </c>
      <c r="BD548" s="1061">
        <v>700</v>
      </c>
      <c r="BE548" s="1061">
        <v>1200</v>
      </c>
      <c r="BF548" s="1061">
        <v>1700</v>
      </c>
      <c r="BG548" s="1061">
        <v>2000</v>
      </c>
      <c r="BH548" s="1061">
        <v>2500</v>
      </c>
      <c r="BI548" s="1061">
        <v>3000</v>
      </c>
      <c r="BJ548" s="1060" t="s">
        <v>1320</v>
      </c>
      <c r="BL548" s="1060" t="s">
        <v>1329</v>
      </c>
      <c r="BN548" s="1182"/>
      <c r="BO548" s="1060" t="s">
        <v>1850</v>
      </c>
      <c r="BW548" s="1181"/>
    </row>
    <row r="549" spans="51:75">
      <c r="AY549" s="1184"/>
      <c r="AZ549" s="1183" t="s">
        <v>820</v>
      </c>
      <c r="BA549" s="1172">
        <v>2</v>
      </c>
      <c r="BB549" s="1152">
        <v>1.68</v>
      </c>
      <c r="BC549" s="1097">
        <v>7.5</v>
      </c>
      <c r="BD549" s="1061">
        <v>700</v>
      </c>
      <c r="BE549" s="1061">
        <v>1200</v>
      </c>
      <c r="BF549" s="1061">
        <v>1700</v>
      </c>
      <c r="BG549" s="1061">
        <v>2000</v>
      </c>
      <c r="BH549" s="1061">
        <v>2500</v>
      </c>
      <c r="BI549" s="1061">
        <v>3000</v>
      </c>
      <c r="BJ549" s="1060" t="s">
        <v>1320</v>
      </c>
      <c r="BL549" s="1060" t="s">
        <v>1721</v>
      </c>
      <c r="BN549" s="1182"/>
      <c r="BO549" s="1060" t="s">
        <v>1849</v>
      </c>
      <c r="BW549" s="1181"/>
    </row>
    <row r="550" spans="51:75">
      <c r="AY550" s="1184"/>
      <c r="AZ550" s="1183" t="s">
        <v>821</v>
      </c>
      <c r="BA550" s="1172">
        <v>2</v>
      </c>
      <c r="BB550" s="1152">
        <v>1.22</v>
      </c>
      <c r="BC550" s="1097">
        <v>7.1</v>
      </c>
      <c r="BD550" s="1061">
        <v>700</v>
      </c>
      <c r="BE550" s="1061">
        <v>1200</v>
      </c>
      <c r="BF550" s="1061">
        <v>1700</v>
      </c>
      <c r="BG550" s="1061">
        <v>2000</v>
      </c>
      <c r="BH550" s="1061">
        <v>2500</v>
      </c>
      <c r="BI550" s="1061">
        <v>3000</v>
      </c>
      <c r="BJ550" s="1060" t="s">
        <v>1320</v>
      </c>
      <c r="BL550" s="1060" t="s">
        <v>1721</v>
      </c>
      <c r="BN550" s="1182"/>
      <c r="BO550" s="1060" t="s">
        <v>1848</v>
      </c>
      <c r="BW550" s="1181"/>
    </row>
    <row r="551" spans="51:75">
      <c r="AY551" s="1184"/>
      <c r="AZ551" s="1183" t="s">
        <v>822</v>
      </c>
      <c r="BA551" s="1172">
        <v>2</v>
      </c>
      <c r="BB551" s="1152">
        <v>1.22</v>
      </c>
      <c r="BC551" s="1097">
        <v>7.1</v>
      </c>
      <c r="BD551" s="1061">
        <v>700</v>
      </c>
      <c r="BE551" s="1061">
        <v>1200</v>
      </c>
      <c r="BF551" s="1061">
        <v>1700</v>
      </c>
      <c r="BG551" s="1061">
        <v>2000</v>
      </c>
      <c r="BH551" s="1061">
        <v>2500</v>
      </c>
      <c r="BI551" s="1061">
        <v>3000</v>
      </c>
      <c r="BJ551" s="1060" t="s">
        <v>1320</v>
      </c>
      <c r="BL551" s="1060" t="s">
        <v>1721</v>
      </c>
      <c r="BN551" s="1182"/>
      <c r="BO551" s="1060" t="s">
        <v>1847</v>
      </c>
      <c r="BW551" s="1181"/>
    </row>
    <row r="552" spans="51:75">
      <c r="AY552" s="1184"/>
      <c r="AZ552" s="1183" t="s">
        <v>823</v>
      </c>
      <c r="BA552" s="1172">
        <v>2</v>
      </c>
      <c r="BB552" s="1152">
        <v>1.49</v>
      </c>
      <c r="BC552" s="1097">
        <v>7</v>
      </c>
      <c r="BD552" s="1061">
        <v>700</v>
      </c>
      <c r="BE552" s="1061">
        <v>1200</v>
      </c>
      <c r="BF552" s="1061">
        <v>1700</v>
      </c>
      <c r="BG552" s="1061">
        <v>2000</v>
      </c>
      <c r="BH552" s="1061">
        <v>2500</v>
      </c>
      <c r="BI552" s="1061">
        <v>3000</v>
      </c>
      <c r="BJ552" s="1060" t="s">
        <v>1320</v>
      </c>
      <c r="BL552" s="1060" t="s">
        <v>1329</v>
      </c>
      <c r="BN552" s="1182"/>
      <c r="BO552" s="1060" t="s">
        <v>1846</v>
      </c>
      <c r="BW552" s="1181"/>
    </row>
    <row r="553" spans="51:75">
      <c r="AY553" s="1184"/>
      <c r="AZ553" s="1183" t="s">
        <v>824</v>
      </c>
      <c r="BA553" s="1172">
        <v>2</v>
      </c>
      <c r="BB553" s="1152">
        <v>1.49</v>
      </c>
      <c r="BC553" s="1097">
        <v>7</v>
      </c>
      <c r="BD553" s="1061">
        <v>700</v>
      </c>
      <c r="BE553" s="1061">
        <v>1200</v>
      </c>
      <c r="BF553" s="1061">
        <v>1700</v>
      </c>
      <c r="BG553" s="1061">
        <v>2000</v>
      </c>
      <c r="BH553" s="1061">
        <v>2500</v>
      </c>
      <c r="BI553" s="1061">
        <v>3000</v>
      </c>
      <c r="BJ553" s="1060" t="s">
        <v>1320</v>
      </c>
      <c r="BL553" s="1060" t="s">
        <v>1329</v>
      </c>
      <c r="BN553" s="1182"/>
      <c r="BO553" s="1060" t="s">
        <v>1845</v>
      </c>
      <c r="BW553" s="1181"/>
    </row>
    <row r="554" spans="51:75">
      <c r="AY554" s="1184"/>
      <c r="AZ554" s="1183" t="s">
        <v>825</v>
      </c>
      <c r="BA554" s="1172">
        <v>2</v>
      </c>
      <c r="BB554" s="1152">
        <v>1.49</v>
      </c>
      <c r="BC554" s="1097">
        <v>7</v>
      </c>
      <c r="BD554" s="1061">
        <v>700</v>
      </c>
      <c r="BE554" s="1061">
        <v>1200</v>
      </c>
      <c r="BF554" s="1061">
        <v>1700</v>
      </c>
      <c r="BG554" s="1061">
        <v>2000</v>
      </c>
      <c r="BH554" s="1061">
        <v>2500</v>
      </c>
      <c r="BI554" s="1061">
        <v>3000</v>
      </c>
      <c r="BJ554" s="1060" t="s">
        <v>1320</v>
      </c>
      <c r="BL554" s="1060" t="s">
        <v>1329</v>
      </c>
      <c r="BN554" s="1182"/>
      <c r="BO554" s="1060" t="s">
        <v>1844</v>
      </c>
      <c r="BW554" s="1181"/>
    </row>
    <row r="555" spans="51:75">
      <c r="AY555" s="1184"/>
      <c r="AZ555" s="1183" t="s">
        <v>1843</v>
      </c>
      <c r="BB555" s="1152">
        <v>9.31</v>
      </c>
      <c r="BC555" s="1097">
        <v>6.7</v>
      </c>
      <c r="BL555" s="1060" t="s">
        <v>1333</v>
      </c>
      <c r="BN555" s="1182"/>
      <c r="BO555" s="1060" t="s">
        <v>1842</v>
      </c>
      <c r="BW555" s="1181"/>
    </row>
    <row r="556" spans="51:75">
      <c r="AY556" s="1184"/>
      <c r="AZ556" s="1183" t="s">
        <v>1841</v>
      </c>
      <c r="BB556" s="1152">
        <v>2.1800000000000002</v>
      </c>
      <c r="BC556" s="1097">
        <v>6.7</v>
      </c>
      <c r="BL556" s="1060" t="s">
        <v>1333</v>
      </c>
      <c r="BN556" s="1182"/>
      <c r="BO556" s="1060" t="s">
        <v>1840</v>
      </c>
      <c r="BW556" s="1181"/>
    </row>
    <row r="557" spans="51:75">
      <c r="AY557" s="1184"/>
      <c r="AZ557" s="1183" t="s">
        <v>1839</v>
      </c>
      <c r="BB557" s="1152">
        <v>0.5</v>
      </c>
      <c r="BC557" s="1097">
        <v>5.9</v>
      </c>
      <c r="BN557" s="1182"/>
      <c r="BO557" s="1060" t="s">
        <v>1838</v>
      </c>
      <c r="BW557" s="1181"/>
    </row>
    <row r="558" spans="51:75">
      <c r="AY558" s="1184"/>
      <c r="AZ558" s="1183" t="s">
        <v>1837</v>
      </c>
      <c r="BN558" s="1182"/>
      <c r="BO558" s="1060" t="s">
        <v>1836</v>
      </c>
      <c r="BW558" s="1181"/>
    </row>
    <row r="559" spans="51:75">
      <c r="AY559" s="1184"/>
      <c r="AZ559" s="1183" t="s">
        <v>1125</v>
      </c>
      <c r="BA559" s="1172">
        <v>8</v>
      </c>
      <c r="BB559" s="1152">
        <v>2.36</v>
      </c>
      <c r="BC559" s="1097">
        <v>4.7</v>
      </c>
      <c r="BD559" s="1061">
        <v>3000</v>
      </c>
      <c r="BE559" s="1061">
        <v>4000</v>
      </c>
      <c r="BF559" s="1061">
        <v>5000</v>
      </c>
      <c r="BG559" s="1061">
        <v>8000</v>
      </c>
      <c r="BH559" s="1061">
        <v>11000</v>
      </c>
      <c r="BI559" s="1061">
        <v>14000</v>
      </c>
      <c r="BJ559" s="1060" t="s">
        <v>1320</v>
      </c>
      <c r="BL559" s="1060" t="s">
        <v>1324</v>
      </c>
      <c r="BN559" s="1182"/>
      <c r="BO559" s="1060" t="s">
        <v>1835</v>
      </c>
      <c r="BW559" s="1181"/>
    </row>
    <row r="560" spans="51:75">
      <c r="AY560" s="1184"/>
      <c r="AZ560" s="1183" t="s">
        <v>1126</v>
      </c>
      <c r="BA560" s="1172">
        <v>8</v>
      </c>
      <c r="BB560" s="1152">
        <v>2.36</v>
      </c>
      <c r="BC560" s="1097">
        <v>4.7</v>
      </c>
      <c r="BD560" s="1061">
        <v>3000</v>
      </c>
      <c r="BE560" s="1061">
        <v>4000</v>
      </c>
      <c r="BF560" s="1061">
        <v>5000</v>
      </c>
      <c r="BG560" s="1061">
        <v>8000</v>
      </c>
      <c r="BH560" s="1061">
        <v>11000</v>
      </c>
      <c r="BI560" s="1061">
        <v>14000</v>
      </c>
      <c r="BJ560" s="1060" t="s">
        <v>1320</v>
      </c>
      <c r="BL560" s="1060" t="s">
        <v>1324</v>
      </c>
      <c r="BN560" s="1182"/>
      <c r="BO560" s="1060" t="s">
        <v>1834</v>
      </c>
      <c r="BW560" s="1181"/>
    </row>
    <row r="561" spans="51:75">
      <c r="AY561" s="1184"/>
      <c r="AZ561" s="1183" t="s">
        <v>1127</v>
      </c>
      <c r="BA561" s="1172">
        <v>8</v>
      </c>
      <c r="BB561" s="1152">
        <v>2.36</v>
      </c>
      <c r="BC561" s="1097">
        <v>4.7</v>
      </c>
      <c r="BD561" s="1061">
        <v>3000</v>
      </c>
      <c r="BE561" s="1061">
        <v>4000</v>
      </c>
      <c r="BF561" s="1061">
        <v>5000</v>
      </c>
      <c r="BG561" s="1061">
        <v>8000</v>
      </c>
      <c r="BH561" s="1061">
        <v>11000</v>
      </c>
      <c r="BI561" s="1061">
        <v>14000</v>
      </c>
      <c r="BJ561" s="1060" t="s">
        <v>1320</v>
      </c>
      <c r="BL561" s="1060" t="s">
        <v>1324</v>
      </c>
      <c r="BN561" s="1182"/>
      <c r="BO561" s="1060" t="s">
        <v>1833</v>
      </c>
      <c r="BW561" s="1181"/>
    </row>
    <row r="562" spans="51:75">
      <c r="AY562" s="1184"/>
      <c r="AZ562" s="1183" t="s">
        <v>1128</v>
      </c>
      <c r="BA562" s="1172">
        <v>8</v>
      </c>
      <c r="BB562" s="1152">
        <v>2.36</v>
      </c>
      <c r="BC562" s="1097">
        <v>4.7</v>
      </c>
      <c r="BD562" s="1061">
        <v>3000</v>
      </c>
      <c r="BE562" s="1061">
        <v>4000</v>
      </c>
      <c r="BF562" s="1061">
        <v>5000</v>
      </c>
      <c r="BG562" s="1061">
        <v>8000</v>
      </c>
      <c r="BH562" s="1061">
        <v>11000</v>
      </c>
      <c r="BI562" s="1061">
        <v>14000</v>
      </c>
      <c r="BJ562" s="1060" t="s">
        <v>1320</v>
      </c>
      <c r="BL562" s="1060" t="s">
        <v>1324</v>
      </c>
      <c r="BN562" s="1182"/>
      <c r="BO562" s="1060" t="s">
        <v>1832</v>
      </c>
      <c r="BW562" s="1181"/>
    </row>
    <row r="563" spans="51:75">
      <c r="AY563" s="1184"/>
      <c r="AZ563" s="1183" t="s">
        <v>925</v>
      </c>
      <c r="BA563" s="1172">
        <v>3</v>
      </c>
      <c r="BB563" s="1152">
        <v>1.08</v>
      </c>
      <c r="BC563" s="1097">
        <v>6.8</v>
      </c>
      <c r="BD563" s="1061">
        <v>1000</v>
      </c>
      <c r="BE563" s="1061">
        <v>1500</v>
      </c>
      <c r="BF563" s="1061">
        <v>2000</v>
      </c>
      <c r="BG563" s="1061">
        <v>3000</v>
      </c>
      <c r="BH563" s="1061">
        <v>5000</v>
      </c>
      <c r="BI563" s="1061">
        <v>7000</v>
      </c>
      <c r="BJ563" s="1060" t="s">
        <v>1320</v>
      </c>
      <c r="BL563" s="1060" t="s">
        <v>1333</v>
      </c>
      <c r="BN563" s="1182"/>
      <c r="BO563" s="1060" t="s">
        <v>1831</v>
      </c>
      <c r="BW563" s="1181"/>
    </row>
    <row r="564" spans="51:75">
      <c r="AY564" s="1184"/>
      <c r="AZ564" s="1183" t="s">
        <v>927</v>
      </c>
      <c r="BA564" s="1172">
        <v>3</v>
      </c>
      <c r="BB564" s="1152">
        <v>1.08</v>
      </c>
      <c r="BC564" s="1097">
        <v>6.8</v>
      </c>
      <c r="BD564" s="1061">
        <v>1000</v>
      </c>
      <c r="BE564" s="1061">
        <v>1500</v>
      </c>
      <c r="BF564" s="1061">
        <v>2000</v>
      </c>
      <c r="BG564" s="1061">
        <v>3000</v>
      </c>
      <c r="BH564" s="1061">
        <v>5000</v>
      </c>
      <c r="BI564" s="1061">
        <v>7000</v>
      </c>
      <c r="BJ564" s="1060" t="s">
        <v>1320</v>
      </c>
      <c r="BL564" s="1060" t="s">
        <v>1333</v>
      </c>
      <c r="BN564" s="1182"/>
      <c r="BO564" s="1060" t="s">
        <v>1830</v>
      </c>
      <c r="BW564" s="1181"/>
    </row>
    <row r="565" spans="51:75">
      <c r="AY565" s="1184"/>
      <c r="AZ565" s="1183" t="s">
        <v>928</v>
      </c>
      <c r="BA565" s="1172">
        <v>3</v>
      </c>
      <c r="BB565" s="1152">
        <v>1.26</v>
      </c>
      <c r="BC565" s="1097">
        <v>6.8</v>
      </c>
      <c r="BD565" s="1061">
        <v>1000</v>
      </c>
      <c r="BE565" s="1061">
        <v>1500</v>
      </c>
      <c r="BF565" s="1061">
        <v>2000</v>
      </c>
      <c r="BG565" s="1061">
        <v>3000</v>
      </c>
      <c r="BH565" s="1061">
        <v>5000</v>
      </c>
      <c r="BI565" s="1061">
        <v>7000</v>
      </c>
      <c r="BJ565" s="1060" t="s">
        <v>1320</v>
      </c>
      <c r="BL565" s="1060" t="s">
        <v>1333</v>
      </c>
      <c r="BN565" s="1182"/>
      <c r="BO565" s="1060" t="s">
        <v>1829</v>
      </c>
      <c r="BW565" s="1181"/>
    </row>
    <row r="566" spans="51:75">
      <c r="AY566" s="1184"/>
      <c r="AZ566" s="1183" t="s">
        <v>929</v>
      </c>
      <c r="BA566" s="1172">
        <v>3</v>
      </c>
      <c r="BB566" s="1152">
        <v>1.26</v>
      </c>
      <c r="BC566" s="1097">
        <v>6.8</v>
      </c>
      <c r="BD566" s="1061">
        <v>1000</v>
      </c>
      <c r="BE566" s="1061">
        <v>1500</v>
      </c>
      <c r="BF566" s="1061">
        <v>2000</v>
      </c>
      <c r="BG566" s="1061">
        <v>3000</v>
      </c>
      <c r="BH566" s="1061">
        <v>5000</v>
      </c>
      <c r="BI566" s="1061">
        <v>7000</v>
      </c>
      <c r="BJ566" s="1060" t="s">
        <v>1320</v>
      </c>
      <c r="BL566" s="1060" t="s">
        <v>1333</v>
      </c>
      <c r="BN566" s="1182"/>
      <c r="BO566" s="1060" t="s">
        <v>1828</v>
      </c>
      <c r="BW566" s="1181"/>
    </row>
    <row r="567" spans="51:75">
      <c r="AY567" s="1184"/>
      <c r="AZ567" s="1183" t="s">
        <v>1199</v>
      </c>
      <c r="BA567" s="1172">
        <v>10</v>
      </c>
      <c r="BB567" s="1152">
        <v>3.2</v>
      </c>
      <c r="BC567" s="1097">
        <v>4.3</v>
      </c>
      <c r="BD567" s="1061">
        <v>7000</v>
      </c>
      <c r="BE567" s="1061">
        <v>9000</v>
      </c>
      <c r="BF567" s="1061">
        <v>11000</v>
      </c>
      <c r="BG567" s="1061">
        <v>14000</v>
      </c>
      <c r="BH567" s="1061">
        <v>18000</v>
      </c>
      <c r="BI567" s="1061">
        <v>20000</v>
      </c>
      <c r="BJ567" s="1060" t="s">
        <v>1348</v>
      </c>
      <c r="BL567" s="1060" t="s">
        <v>1824</v>
      </c>
      <c r="BN567" s="1182"/>
      <c r="BO567" s="1060" t="s">
        <v>1827</v>
      </c>
      <c r="BW567" s="1181"/>
    </row>
    <row r="568" spans="51:75">
      <c r="AY568" s="1184"/>
      <c r="AZ568" s="1183" t="s">
        <v>1200</v>
      </c>
      <c r="BA568" s="1172">
        <v>10</v>
      </c>
      <c r="BB568" s="1152">
        <v>3.2</v>
      </c>
      <c r="BC568" s="1097">
        <v>4.3</v>
      </c>
      <c r="BD568" s="1061">
        <v>7000</v>
      </c>
      <c r="BE568" s="1061">
        <v>9000</v>
      </c>
      <c r="BF568" s="1061">
        <v>11000</v>
      </c>
      <c r="BG568" s="1061">
        <v>14000</v>
      </c>
      <c r="BH568" s="1061">
        <v>18000</v>
      </c>
      <c r="BI568" s="1061">
        <v>20000</v>
      </c>
      <c r="BJ568" s="1060" t="s">
        <v>1348</v>
      </c>
      <c r="BL568" s="1060" t="s">
        <v>1824</v>
      </c>
      <c r="BN568" s="1182"/>
      <c r="BO568" s="1060" t="s">
        <v>1826</v>
      </c>
      <c r="BW568" s="1181"/>
    </row>
    <row r="569" spans="51:75">
      <c r="AY569" s="1184"/>
      <c r="AZ569" s="1183" t="s">
        <v>1201</v>
      </c>
      <c r="BA569" s="1172">
        <v>10</v>
      </c>
      <c r="BB569" s="1152">
        <v>3.03</v>
      </c>
      <c r="BC569" s="1097">
        <v>4.3</v>
      </c>
      <c r="BD569" s="1061">
        <v>7000</v>
      </c>
      <c r="BE569" s="1061">
        <v>9000</v>
      </c>
      <c r="BF569" s="1061">
        <v>11000</v>
      </c>
      <c r="BG569" s="1061">
        <v>14000</v>
      </c>
      <c r="BH569" s="1061">
        <v>18000</v>
      </c>
      <c r="BI569" s="1061">
        <v>20000</v>
      </c>
      <c r="BJ569" s="1060" t="s">
        <v>1348</v>
      </c>
      <c r="BL569" s="1060" t="s">
        <v>1824</v>
      </c>
      <c r="BN569" s="1182"/>
      <c r="BO569" s="1060" t="s">
        <v>1825</v>
      </c>
      <c r="BW569" s="1181"/>
    </row>
    <row r="570" spans="51:75">
      <c r="AY570" s="1184"/>
      <c r="AZ570" s="1183" t="s">
        <v>1202</v>
      </c>
      <c r="BA570" s="1172">
        <v>10</v>
      </c>
      <c r="BB570" s="1152">
        <v>3.03</v>
      </c>
      <c r="BC570" s="1097">
        <v>4.3</v>
      </c>
      <c r="BD570" s="1061">
        <v>7000</v>
      </c>
      <c r="BE570" s="1061">
        <v>9000</v>
      </c>
      <c r="BF570" s="1061">
        <v>11000</v>
      </c>
      <c r="BG570" s="1061">
        <v>14000</v>
      </c>
      <c r="BH570" s="1061">
        <v>18000</v>
      </c>
      <c r="BI570" s="1061">
        <v>20000</v>
      </c>
      <c r="BJ570" s="1060" t="s">
        <v>1348</v>
      </c>
      <c r="BL570" s="1060" t="s">
        <v>1824</v>
      </c>
      <c r="BN570" s="1182"/>
      <c r="BO570" s="1060" t="s">
        <v>1823</v>
      </c>
      <c r="BW570" s="1181"/>
    </row>
    <row r="571" spans="51:75">
      <c r="AY571" s="1184"/>
      <c r="AZ571" s="1183" t="s">
        <v>930</v>
      </c>
      <c r="BA571" s="1172">
        <v>3</v>
      </c>
      <c r="BB571" s="1152">
        <v>1.57</v>
      </c>
      <c r="BC571" s="1097">
        <v>5.4</v>
      </c>
      <c r="BD571" s="1061">
        <v>1000</v>
      </c>
      <c r="BE571" s="1061">
        <v>1500</v>
      </c>
      <c r="BF571" s="1061">
        <v>2000</v>
      </c>
      <c r="BG571" s="1061">
        <v>3000</v>
      </c>
      <c r="BH571" s="1061">
        <v>5000</v>
      </c>
      <c r="BI571" s="1061">
        <v>7000</v>
      </c>
      <c r="BJ571" s="1060" t="s">
        <v>1348</v>
      </c>
      <c r="BL571" s="1060" t="s">
        <v>1324</v>
      </c>
      <c r="BN571" s="1182"/>
      <c r="BO571" s="1060" t="s">
        <v>1822</v>
      </c>
      <c r="BW571" s="1181"/>
    </row>
    <row r="572" spans="51:75">
      <c r="AY572" s="1184"/>
      <c r="AZ572" s="1183" t="s">
        <v>934</v>
      </c>
      <c r="BA572" s="1172">
        <v>3</v>
      </c>
      <c r="BB572" s="1152">
        <v>1.57</v>
      </c>
      <c r="BC572" s="1097">
        <v>5.4</v>
      </c>
      <c r="BD572" s="1061">
        <v>1000</v>
      </c>
      <c r="BE572" s="1061">
        <v>1500</v>
      </c>
      <c r="BF572" s="1061">
        <v>2000</v>
      </c>
      <c r="BG572" s="1061">
        <v>3000</v>
      </c>
      <c r="BH572" s="1061">
        <v>5000</v>
      </c>
      <c r="BI572" s="1061">
        <v>7000</v>
      </c>
      <c r="BJ572" s="1060" t="s">
        <v>1348</v>
      </c>
      <c r="BL572" s="1060" t="s">
        <v>1324</v>
      </c>
      <c r="BN572" s="1182"/>
      <c r="BO572" s="1060" t="s">
        <v>1821</v>
      </c>
      <c r="BW572" s="1181"/>
    </row>
    <row r="573" spans="51:75">
      <c r="AY573" s="1184"/>
      <c r="AZ573" s="1183" t="s">
        <v>936</v>
      </c>
      <c r="BA573" s="1172">
        <v>3</v>
      </c>
      <c r="BB573" s="1152">
        <v>1.57</v>
      </c>
      <c r="BC573" s="1097">
        <v>5.4</v>
      </c>
      <c r="BD573" s="1061">
        <v>1000</v>
      </c>
      <c r="BE573" s="1061">
        <v>1500</v>
      </c>
      <c r="BF573" s="1061">
        <v>2000</v>
      </c>
      <c r="BG573" s="1061">
        <v>3000</v>
      </c>
      <c r="BH573" s="1061">
        <v>5000</v>
      </c>
      <c r="BI573" s="1061">
        <v>7000</v>
      </c>
      <c r="BJ573" s="1060" t="s">
        <v>1348</v>
      </c>
      <c r="BL573" s="1060" t="s">
        <v>1324</v>
      </c>
      <c r="BN573" s="1182"/>
      <c r="BO573" s="1060" t="s">
        <v>1820</v>
      </c>
      <c r="BW573" s="1181"/>
    </row>
    <row r="574" spans="51:75">
      <c r="AY574" s="1184"/>
      <c r="AZ574" s="1183" t="s">
        <v>937</v>
      </c>
      <c r="BA574" s="1172">
        <v>3</v>
      </c>
      <c r="BB574" s="1152">
        <v>1.57</v>
      </c>
      <c r="BC574" s="1097">
        <v>5.4</v>
      </c>
      <c r="BD574" s="1061">
        <v>1000</v>
      </c>
      <c r="BE574" s="1061">
        <v>1500</v>
      </c>
      <c r="BF574" s="1061">
        <v>2000</v>
      </c>
      <c r="BG574" s="1061">
        <v>3000</v>
      </c>
      <c r="BH574" s="1061">
        <v>5000</v>
      </c>
      <c r="BI574" s="1061">
        <v>7000</v>
      </c>
      <c r="BJ574" s="1060" t="s">
        <v>1348</v>
      </c>
      <c r="BL574" s="1060" t="s">
        <v>1324</v>
      </c>
      <c r="BN574" s="1182"/>
      <c r="BO574" s="1060" t="s">
        <v>1819</v>
      </c>
      <c r="BW574" s="1181"/>
    </row>
    <row r="575" spans="51:75">
      <c r="AY575" s="1184"/>
      <c r="AZ575" s="1183" t="s">
        <v>1056</v>
      </c>
      <c r="BA575" s="1172">
        <v>6</v>
      </c>
      <c r="BB575" s="1152">
        <v>1.95</v>
      </c>
      <c r="BC575" s="1097">
        <v>4.7</v>
      </c>
      <c r="BD575" s="1061">
        <v>7000</v>
      </c>
      <c r="BE575" s="1061">
        <v>9000</v>
      </c>
      <c r="BF575" s="1061">
        <v>11000</v>
      </c>
      <c r="BG575" s="1061">
        <v>15000</v>
      </c>
      <c r="BH575" s="1061">
        <v>18500</v>
      </c>
      <c r="BI575" s="1061">
        <v>22000</v>
      </c>
      <c r="BJ575" s="1060" t="s">
        <v>1348</v>
      </c>
      <c r="BL575" s="1060" t="s">
        <v>1324</v>
      </c>
      <c r="BN575" s="1182"/>
      <c r="BO575" s="1060" t="s">
        <v>1818</v>
      </c>
      <c r="BW575" s="1181"/>
    </row>
    <row r="576" spans="51:75">
      <c r="AY576" s="1184"/>
      <c r="AZ576" s="1183" t="s">
        <v>1057</v>
      </c>
      <c r="BA576" s="1172">
        <v>6</v>
      </c>
      <c r="BB576" s="1152">
        <v>1.43</v>
      </c>
      <c r="BC576" s="1097">
        <v>5</v>
      </c>
      <c r="BD576" s="1061">
        <v>7000</v>
      </c>
      <c r="BE576" s="1061">
        <v>9000</v>
      </c>
      <c r="BF576" s="1061">
        <v>11000</v>
      </c>
      <c r="BG576" s="1061">
        <v>15000</v>
      </c>
      <c r="BH576" s="1061">
        <v>18500</v>
      </c>
      <c r="BI576" s="1061">
        <v>22000</v>
      </c>
      <c r="BJ576" s="1060" t="s">
        <v>1348</v>
      </c>
      <c r="BL576" s="1060" t="s">
        <v>1333</v>
      </c>
      <c r="BN576" s="1182"/>
      <c r="BO576" s="1060" t="s">
        <v>1817</v>
      </c>
      <c r="BW576" s="1181"/>
    </row>
    <row r="577" spans="51:75">
      <c r="AY577" s="1184"/>
      <c r="AZ577" s="1183" t="s">
        <v>1058</v>
      </c>
      <c r="BA577" s="1172">
        <v>6</v>
      </c>
      <c r="BB577" s="1152">
        <v>1.94</v>
      </c>
      <c r="BC577" s="1097">
        <v>5</v>
      </c>
      <c r="BD577" s="1061">
        <v>7000</v>
      </c>
      <c r="BE577" s="1061">
        <v>9000</v>
      </c>
      <c r="BF577" s="1061">
        <v>11000</v>
      </c>
      <c r="BG577" s="1061">
        <v>15000</v>
      </c>
      <c r="BH577" s="1061">
        <v>18500</v>
      </c>
      <c r="BI577" s="1061">
        <v>22000</v>
      </c>
      <c r="BJ577" s="1060" t="s">
        <v>1348</v>
      </c>
      <c r="BL577" s="1060" t="s">
        <v>1333</v>
      </c>
      <c r="BN577" s="1182"/>
      <c r="BO577" s="1060" t="s">
        <v>1816</v>
      </c>
      <c r="BW577" s="1181"/>
    </row>
    <row r="578" spans="51:75">
      <c r="AY578" s="1184"/>
      <c r="AZ578" s="1183" t="s">
        <v>1059</v>
      </c>
      <c r="BA578" s="1172">
        <v>6</v>
      </c>
      <c r="BB578" s="1152">
        <v>1.26</v>
      </c>
      <c r="BC578" s="1097">
        <v>5</v>
      </c>
      <c r="BD578" s="1061">
        <v>7000</v>
      </c>
      <c r="BE578" s="1061">
        <v>9000</v>
      </c>
      <c r="BF578" s="1061">
        <v>11000</v>
      </c>
      <c r="BG578" s="1061">
        <v>15000</v>
      </c>
      <c r="BH578" s="1061">
        <v>18500</v>
      </c>
      <c r="BI578" s="1061">
        <v>22000</v>
      </c>
      <c r="BJ578" s="1060" t="s">
        <v>1348</v>
      </c>
      <c r="BL578" s="1060" t="s">
        <v>1333</v>
      </c>
      <c r="BN578" s="1182"/>
      <c r="BO578" s="1060" t="s">
        <v>1815</v>
      </c>
      <c r="BW578" s="1181"/>
    </row>
    <row r="579" spans="51:75">
      <c r="AY579" s="1184"/>
      <c r="AZ579" s="1183" t="s">
        <v>938</v>
      </c>
      <c r="BA579" s="1172">
        <v>3</v>
      </c>
      <c r="BB579" s="1152">
        <v>1.57</v>
      </c>
      <c r="BC579" s="1097">
        <v>5.4</v>
      </c>
      <c r="BD579" s="1061">
        <v>1000</v>
      </c>
      <c r="BE579" s="1061">
        <v>1500</v>
      </c>
      <c r="BF579" s="1061">
        <v>2000</v>
      </c>
      <c r="BG579" s="1061">
        <v>3000</v>
      </c>
      <c r="BH579" s="1061">
        <v>5000</v>
      </c>
      <c r="BI579" s="1061">
        <v>7000</v>
      </c>
      <c r="BJ579" s="1060" t="s">
        <v>1348</v>
      </c>
      <c r="BL579" s="1060" t="s">
        <v>1324</v>
      </c>
      <c r="BN579" s="1182"/>
      <c r="BO579" s="1060" t="s">
        <v>1814</v>
      </c>
      <c r="BW579" s="1181"/>
    </row>
    <row r="580" spans="51:75">
      <c r="AY580" s="1184"/>
      <c r="AZ580" s="1183" t="s">
        <v>1219</v>
      </c>
      <c r="BA580" s="1172">
        <v>11</v>
      </c>
      <c r="BB580" s="1152">
        <v>2.95</v>
      </c>
      <c r="BC580" s="1097">
        <v>6.2</v>
      </c>
      <c r="BD580" s="1061">
        <v>9000</v>
      </c>
      <c r="BE580" s="1061">
        <v>11000</v>
      </c>
      <c r="BF580" s="1061">
        <v>13000</v>
      </c>
      <c r="BG580" s="1061">
        <v>18000</v>
      </c>
      <c r="BH580" s="1061">
        <v>22000</v>
      </c>
      <c r="BI580" s="1061">
        <v>26000</v>
      </c>
      <c r="BJ580" s="1060" t="s">
        <v>1320</v>
      </c>
      <c r="BL580" s="1060" t="s">
        <v>1390</v>
      </c>
      <c r="BN580" s="1182"/>
      <c r="BO580" s="1060" t="s">
        <v>1813</v>
      </c>
      <c r="BW580" s="1181"/>
    </row>
    <row r="581" spans="51:75">
      <c r="AY581" s="1184"/>
      <c r="AZ581" s="1183" t="s">
        <v>1220</v>
      </c>
      <c r="BA581" s="1172">
        <v>11</v>
      </c>
      <c r="BB581" s="1152">
        <v>2.95</v>
      </c>
      <c r="BC581" s="1097">
        <v>6.2</v>
      </c>
      <c r="BD581" s="1061">
        <v>9000</v>
      </c>
      <c r="BE581" s="1061">
        <v>11000</v>
      </c>
      <c r="BF581" s="1061">
        <v>13000</v>
      </c>
      <c r="BG581" s="1061">
        <v>18000</v>
      </c>
      <c r="BH581" s="1061">
        <v>22000</v>
      </c>
      <c r="BI581" s="1061">
        <v>26000</v>
      </c>
      <c r="BJ581" s="1060" t="s">
        <v>1320</v>
      </c>
      <c r="BL581" s="1060" t="s">
        <v>1390</v>
      </c>
      <c r="BN581" s="1182"/>
      <c r="BO581" s="1060" t="s">
        <v>1812</v>
      </c>
      <c r="BW581" s="1181"/>
    </row>
    <row r="582" spans="51:75">
      <c r="AY582" s="1184"/>
      <c r="AZ582" s="1183" t="s">
        <v>1221</v>
      </c>
      <c r="BA582" s="1172">
        <v>11</v>
      </c>
      <c r="BB582" s="1152">
        <v>6.03</v>
      </c>
      <c r="BC582" s="1097">
        <v>5.7</v>
      </c>
      <c r="BD582" s="1061">
        <v>9000</v>
      </c>
      <c r="BE582" s="1061">
        <v>11000</v>
      </c>
      <c r="BF582" s="1061">
        <v>13000</v>
      </c>
      <c r="BG582" s="1061">
        <v>18000</v>
      </c>
      <c r="BH582" s="1061">
        <v>22000</v>
      </c>
      <c r="BI582" s="1061">
        <v>26000</v>
      </c>
      <c r="BJ582" s="1060" t="s">
        <v>1320</v>
      </c>
      <c r="BL582" s="1060" t="s">
        <v>1390</v>
      </c>
      <c r="BN582" s="1182"/>
      <c r="BO582" s="1060" t="s">
        <v>1811</v>
      </c>
      <c r="BW582" s="1181"/>
    </row>
    <row r="583" spans="51:75">
      <c r="AY583" s="1184"/>
      <c r="AZ583" s="1183" t="s">
        <v>1222</v>
      </c>
      <c r="BA583" s="1172">
        <v>11</v>
      </c>
      <c r="BB583" s="1152">
        <v>2.62</v>
      </c>
      <c r="BC583" s="1097">
        <v>6.1</v>
      </c>
      <c r="BD583" s="1061">
        <v>9000</v>
      </c>
      <c r="BE583" s="1061">
        <v>11000</v>
      </c>
      <c r="BF583" s="1061">
        <v>13000</v>
      </c>
      <c r="BG583" s="1061">
        <v>18000</v>
      </c>
      <c r="BH583" s="1061">
        <v>22000</v>
      </c>
      <c r="BI583" s="1061">
        <v>26000</v>
      </c>
      <c r="BJ583" s="1060" t="s">
        <v>1320</v>
      </c>
      <c r="BL583" s="1060" t="s">
        <v>1390</v>
      </c>
      <c r="BN583" s="1182"/>
      <c r="BO583" s="1060" t="s">
        <v>1810</v>
      </c>
      <c r="BW583" s="1181"/>
    </row>
    <row r="584" spans="51:75">
      <c r="AY584" s="1184"/>
      <c r="AZ584" s="1183" t="s">
        <v>1099</v>
      </c>
      <c r="BA584" s="1172">
        <v>6</v>
      </c>
      <c r="BB584" s="1152">
        <v>2.76</v>
      </c>
      <c r="BC584" s="1097">
        <v>4.5999999999999996</v>
      </c>
      <c r="BD584" s="1061">
        <v>7000</v>
      </c>
      <c r="BE584" s="1061">
        <v>9000</v>
      </c>
      <c r="BF584" s="1061">
        <v>11000</v>
      </c>
      <c r="BG584" s="1061">
        <v>15000</v>
      </c>
      <c r="BH584" s="1061">
        <v>18500</v>
      </c>
      <c r="BI584" s="1061">
        <v>22000</v>
      </c>
      <c r="BJ584" s="1060" t="s">
        <v>1320</v>
      </c>
      <c r="BL584" s="1060" t="s">
        <v>1807</v>
      </c>
      <c r="BN584" s="1182"/>
      <c r="BO584" s="1060" t="s">
        <v>1809</v>
      </c>
      <c r="BW584" s="1181"/>
    </row>
    <row r="585" spans="51:75">
      <c r="AY585" s="1184"/>
      <c r="AZ585" s="1183" t="s">
        <v>1100</v>
      </c>
      <c r="BA585" s="1172">
        <v>6</v>
      </c>
      <c r="BB585" s="1152">
        <v>2.76</v>
      </c>
      <c r="BC585" s="1097">
        <v>4.5999999999999996</v>
      </c>
      <c r="BD585" s="1061">
        <v>7000</v>
      </c>
      <c r="BE585" s="1061">
        <v>9000</v>
      </c>
      <c r="BF585" s="1061">
        <v>11000</v>
      </c>
      <c r="BG585" s="1061">
        <v>15000</v>
      </c>
      <c r="BH585" s="1061">
        <v>18500</v>
      </c>
      <c r="BI585" s="1061">
        <v>22000</v>
      </c>
      <c r="BJ585" s="1060" t="s">
        <v>1320</v>
      </c>
      <c r="BL585" s="1060" t="s">
        <v>1807</v>
      </c>
      <c r="BN585" s="1182"/>
      <c r="BO585" s="1060" t="s">
        <v>1808</v>
      </c>
      <c r="BW585" s="1181"/>
    </row>
    <row r="586" spans="51:75">
      <c r="AY586" s="1184"/>
      <c r="AZ586" s="1183" t="s">
        <v>1101</v>
      </c>
      <c r="BA586" s="1172">
        <v>6</v>
      </c>
      <c r="BB586" s="1152">
        <v>2.12</v>
      </c>
      <c r="BC586" s="1097">
        <v>4.5999999999999996</v>
      </c>
      <c r="BD586" s="1061">
        <v>7000</v>
      </c>
      <c r="BE586" s="1061">
        <v>9000</v>
      </c>
      <c r="BF586" s="1061">
        <v>11000</v>
      </c>
      <c r="BG586" s="1061">
        <v>15000</v>
      </c>
      <c r="BH586" s="1061">
        <v>18500</v>
      </c>
      <c r="BI586" s="1061">
        <v>22000</v>
      </c>
      <c r="BJ586" s="1060" t="s">
        <v>1320</v>
      </c>
      <c r="BL586" s="1060" t="s">
        <v>1807</v>
      </c>
      <c r="BN586" s="1182"/>
      <c r="BO586" s="1060" t="s">
        <v>1806</v>
      </c>
      <c r="BW586" s="1181"/>
    </row>
    <row r="587" spans="51:75">
      <c r="AY587" s="1184"/>
      <c r="AZ587" s="1183" t="s">
        <v>939</v>
      </c>
      <c r="BA587" s="1172">
        <v>3</v>
      </c>
      <c r="BB587" s="1152">
        <v>0.98</v>
      </c>
      <c r="BC587" s="1097">
        <v>6.5</v>
      </c>
      <c r="BD587" s="1061">
        <v>1000</v>
      </c>
      <c r="BE587" s="1061">
        <v>1500</v>
      </c>
      <c r="BF587" s="1061">
        <v>2000</v>
      </c>
      <c r="BG587" s="1061">
        <v>3000</v>
      </c>
      <c r="BH587" s="1061">
        <v>5000</v>
      </c>
      <c r="BI587" s="1061">
        <v>7000</v>
      </c>
      <c r="BJ587" s="1060" t="s">
        <v>1320</v>
      </c>
      <c r="BL587" s="1060" t="s">
        <v>1333</v>
      </c>
      <c r="BN587" s="1182"/>
      <c r="BO587" s="1060" t="s">
        <v>1805</v>
      </c>
      <c r="BW587" s="1181"/>
    </row>
    <row r="588" spans="51:75">
      <c r="AY588" s="1184"/>
      <c r="AZ588" s="1183" t="s">
        <v>1102</v>
      </c>
      <c r="BA588" s="1172">
        <v>7</v>
      </c>
      <c r="BB588" s="1152">
        <v>2.85</v>
      </c>
      <c r="BC588" s="1097">
        <v>6.3</v>
      </c>
      <c r="BD588" s="1061">
        <v>4000</v>
      </c>
      <c r="BE588" s="1061">
        <v>5000</v>
      </c>
      <c r="BF588" s="1061">
        <v>6000</v>
      </c>
      <c r="BG588" s="1061">
        <v>8000</v>
      </c>
      <c r="BH588" s="1061">
        <v>10000</v>
      </c>
      <c r="BI588" s="1061">
        <v>12000</v>
      </c>
      <c r="BJ588" s="1060" t="s">
        <v>1320</v>
      </c>
      <c r="BL588" s="1060" t="s">
        <v>1387</v>
      </c>
      <c r="BN588" s="1182"/>
      <c r="BO588" s="1060" t="s">
        <v>1804</v>
      </c>
      <c r="BW588" s="1181"/>
    </row>
    <row r="589" spans="51:75">
      <c r="AY589" s="1184"/>
      <c r="AZ589" s="1183" t="s">
        <v>1187</v>
      </c>
      <c r="BA589" s="1172">
        <v>8</v>
      </c>
      <c r="BB589" s="1152">
        <v>1.47</v>
      </c>
      <c r="BC589" s="1097">
        <v>4.8</v>
      </c>
      <c r="BD589" s="1061">
        <v>3000</v>
      </c>
      <c r="BE589" s="1061">
        <v>4000</v>
      </c>
      <c r="BF589" s="1061">
        <v>5000</v>
      </c>
      <c r="BG589" s="1061">
        <v>8000</v>
      </c>
      <c r="BH589" s="1061">
        <v>11000</v>
      </c>
      <c r="BI589" s="1061">
        <v>14000</v>
      </c>
      <c r="BJ589" s="1060" t="s">
        <v>1320</v>
      </c>
      <c r="BL589" s="1060" t="s">
        <v>1390</v>
      </c>
      <c r="BN589" s="1182"/>
      <c r="BO589" s="1060" t="s">
        <v>1803</v>
      </c>
      <c r="BW589" s="1181"/>
    </row>
    <row r="590" spans="51:75">
      <c r="AY590" s="1184"/>
      <c r="AZ590" s="1183" t="s">
        <v>1103</v>
      </c>
      <c r="BA590" s="1172">
        <v>7</v>
      </c>
      <c r="BB590" s="1152">
        <v>3.55</v>
      </c>
      <c r="BC590" s="1097">
        <v>6</v>
      </c>
      <c r="BD590" s="1061">
        <v>4000</v>
      </c>
      <c r="BE590" s="1061">
        <v>5000</v>
      </c>
      <c r="BF590" s="1061">
        <v>6000</v>
      </c>
      <c r="BG590" s="1061">
        <v>8000</v>
      </c>
      <c r="BH590" s="1061">
        <v>10000</v>
      </c>
      <c r="BI590" s="1061">
        <v>12000</v>
      </c>
      <c r="BJ590" s="1060" t="s">
        <v>1320</v>
      </c>
      <c r="BL590" s="1060" t="s">
        <v>1387</v>
      </c>
      <c r="BN590" s="1182"/>
      <c r="BO590" s="1060" t="s">
        <v>1802</v>
      </c>
      <c r="BW590" s="1181"/>
    </row>
    <row r="591" spans="51:75">
      <c r="AY591" s="1184"/>
      <c r="AZ591" s="1183" t="s">
        <v>1104</v>
      </c>
      <c r="BA591" s="1172">
        <v>7</v>
      </c>
      <c r="BB591" s="1152">
        <v>2.85</v>
      </c>
      <c r="BC591" s="1097">
        <v>6.3</v>
      </c>
      <c r="BD591" s="1061">
        <v>4000</v>
      </c>
      <c r="BE591" s="1061">
        <v>5000</v>
      </c>
      <c r="BF591" s="1061">
        <v>6000</v>
      </c>
      <c r="BG591" s="1061">
        <v>8000</v>
      </c>
      <c r="BH591" s="1061">
        <v>10000</v>
      </c>
      <c r="BI591" s="1061">
        <v>12000</v>
      </c>
      <c r="BJ591" s="1060" t="s">
        <v>1320</v>
      </c>
      <c r="BL591" s="1060" t="s">
        <v>1387</v>
      </c>
      <c r="BN591" s="1182"/>
      <c r="BO591" s="1060" t="s">
        <v>1801</v>
      </c>
      <c r="BW591" s="1181"/>
    </row>
    <row r="592" spans="51:75">
      <c r="AY592" s="1184"/>
      <c r="AZ592" s="1183" t="s">
        <v>1800</v>
      </c>
      <c r="BB592" s="1152">
        <v>2.68</v>
      </c>
      <c r="BC592" s="1097">
        <v>4.9000000000000004</v>
      </c>
      <c r="BJ592" s="1060" t="s">
        <v>1348</v>
      </c>
      <c r="BL592" s="1060" t="s">
        <v>1387</v>
      </c>
      <c r="BN592" s="1182"/>
      <c r="BO592" s="1060" t="s">
        <v>1799</v>
      </c>
      <c r="BW592" s="1181"/>
    </row>
    <row r="593" spans="51:75">
      <c r="AY593" s="1184"/>
      <c r="AZ593" s="1183" t="s">
        <v>1798</v>
      </c>
      <c r="BB593" s="1152">
        <v>2.78</v>
      </c>
      <c r="BC593" s="1097">
        <v>4.9000000000000004</v>
      </c>
      <c r="BJ593" s="1060" t="s">
        <v>1348</v>
      </c>
      <c r="BL593" s="1060" t="s">
        <v>1387</v>
      </c>
      <c r="BN593" s="1182"/>
      <c r="BO593" s="1060" t="s">
        <v>1797</v>
      </c>
      <c r="BW593" s="1181"/>
    </row>
    <row r="594" spans="51:75">
      <c r="AY594" s="1184"/>
      <c r="AZ594" s="1183" t="s">
        <v>1105</v>
      </c>
      <c r="BA594" s="1172">
        <v>7</v>
      </c>
      <c r="BB594" s="1152">
        <v>2.85</v>
      </c>
      <c r="BC594" s="1097">
        <v>6.3</v>
      </c>
      <c r="BD594" s="1061">
        <v>4000</v>
      </c>
      <c r="BE594" s="1061">
        <v>5000</v>
      </c>
      <c r="BF594" s="1061">
        <v>6000</v>
      </c>
      <c r="BG594" s="1061">
        <v>8000</v>
      </c>
      <c r="BH594" s="1061">
        <v>10000</v>
      </c>
      <c r="BI594" s="1061">
        <v>12000</v>
      </c>
      <c r="BJ594" s="1060" t="s">
        <v>1320</v>
      </c>
      <c r="BL594" s="1060" t="s">
        <v>1387</v>
      </c>
      <c r="BN594" s="1182"/>
      <c r="BO594" s="1060" t="s">
        <v>1796</v>
      </c>
      <c r="BW594" s="1181"/>
    </row>
    <row r="595" spans="51:75">
      <c r="AY595" s="1184"/>
      <c r="AZ595" s="1183" t="s">
        <v>1106</v>
      </c>
      <c r="BA595" s="1172">
        <v>7</v>
      </c>
      <c r="BB595" s="1152">
        <v>8.4700000000000006</v>
      </c>
      <c r="BC595" s="1097">
        <v>6.3</v>
      </c>
      <c r="BD595" s="1061">
        <v>4000</v>
      </c>
      <c r="BE595" s="1061">
        <v>5000</v>
      </c>
      <c r="BF595" s="1061">
        <v>6000</v>
      </c>
      <c r="BG595" s="1061">
        <v>8000</v>
      </c>
      <c r="BH595" s="1061">
        <v>10000</v>
      </c>
      <c r="BI595" s="1061">
        <v>12000</v>
      </c>
      <c r="BJ595" s="1060" t="s">
        <v>1320</v>
      </c>
      <c r="BL595" s="1060" t="s">
        <v>1387</v>
      </c>
      <c r="BN595" s="1182"/>
      <c r="BO595" s="1060" t="s">
        <v>1795</v>
      </c>
      <c r="BW595" s="1181"/>
    </row>
    <row r="596" spans="51:75">
      <c r="AY596" s="1184"/>
      <c r="AZ596" s="1183" t="s">
        <v>1107</v>
      </c>
      <c r="BA596" s="1172">
        <v>7</v>
      </c>
      <c r="BB596" s="1152">
        <v>2.85</v>
      </c>
      <c r="BC596" s="1097">
        <v>6.3</v>
      </c>
      <c r="BD596" s="1061">
        <v>4000</v>
      </c>
      <c r="BE596" s="1061">
        <v>5000</v>
      </c>
      <c r="BF596" s="1061">
        <v>6000</v>
      </c>
      <c r="BG596" s="1061">
        <v>8000</v>
      </c>
      <c r="BH596" s="1061">
        <v>10000</v>
      </c>
      <c r="BI596" s="1061">
        <v>12000</v>
      </c>
      <c r="BJ596" s="1060" t="s">
        <v>1320</v>
      </c>
      <c r="BL596" s="1060" t="s">
        <v>1387</v>
      </c>
      <c r="BN596" s="1182"/>
      <c r="BO596" s="1060" t="s">
        <v>1794</v>
      </c>
      <c r="BW596" s="1181"/>
    </row>
    <row r="597" spans="51:75">
      <c r="AY597" s="1184"/>
      <c r="AZ597" s="1183" t="s">
        <v>1129</v>
      </c>
      <c r="BA597" s="1172">
        <v>8</v>
      </c>
      <c r="BB597" s="1152">
        <v>1.1499999999999999</v>
      </c>
      <c r="BC597" s="1097">
        <v>4.9000000000000004</v>
      </c>
      <c r="BD597" s="1061">
        <v>3000</v>
      </c>
      <c r="BE597" s="1061">
        <v>4000</v>
      </c>
      <c r="BF597" s="1061">
        <v>5000</v>
      </c>
      <c r="BG597" s="1061">
        <v>8000</v>
      </c>
      <c r="BH597" s="1061">
        <v>11000</v>
      </c>
      <c r="BI597" s="1061">
        <v>14000</v>
      </c>
      <c r="BJ597" s="1060" t="s">
        <v>1320</v>
      </c>
      <c r="BL597" s="1060" t="s">
        <v>1390</v>
      </c>
      <c r="BN597" s="1182"/>
      <c r="BO597" s="1060" t="s">
        <v>1793</v>
      </c>
      <c r="BW597" s="1181"/>
    </row>
    <row r="598" spans="51:75">
      <c r="AY598" s="1184"/>
      <c r="AZ598" s="1183" t="s">
        <v>1130</v>
      </c>
      <c r="BA598" s="1172">
        <v>8</v>
      </c>
      <c r="BB598" s="1152">
        <v>1.1499999999999999</v>
      </c>
      <c r="BC598" s="1097">
        <v>4.9000000000000004</v>
      </c>
      <c r="BD598" s="1061">
        <v>3000</v>
      </c>
      <c r="BE598" s="1061">
        <v>4000</v>
      </c>
      <c r="BF598" s="1061">
        <v>5000</v>
      </c>
      <c r="BG598" s="1061">
        <v>8000</v>
      </c>
      <c r="BH598" s="1061">
        <v>11000</v>
      </c>
      <c r="BI598" s="1061">
        <v>14000</v>
      </c>
      <c r="BJ598" s="1060" t="s">
        <v>1320</v>
      </c>
      <c r="BL598" s="1060" t="s">
        <v>1390</v>
      </c>
      <c r="BN598" s="1182"/>
      <c r="BO598" s="1060" t="s">
        <v>1792</v>
      </c>
      <c r="BW598" s="1181"/>
    </row>
    <row r="599" spans="51:75">
      <c r="AY599" s="1184"/>
      <c r="AZ599" s="1183" t="s">
        <v>1131</v>
      </c>
      <c r="BA599" s="1172">
        <v>8</v>
      </c>
      <c r="BB599" s="1152">
        <v>1.1499999999999999</v>
      </c>
      <c r="BC599" s="1097">
        <v>4.9000000000000004</v>
      </c>
      <c r="BD599" s="1061">
        <v>3000</v>
      </c>
      <c r="BE599" s="1061">
        <v>4000</v>
      </c>
      <c r="BF599" s="1061">
        <v>5000</v>
      </c>
      <c r="BG599" s="1061">
        <v>8000</v>
      </c>
      <c r="BH599" s="1061">
        <v>11000</v>
      </c>
      <c r="BI599" s="1061">
        <v>14000</v>
      </c>
      <c r="BJ599" s="1060" t="s">
        <v>1320</v>
      </c>
      <c r="BL599" s="1060" t="s">
        <v>1390</v>
      </c>
      <c r="BN599" s="1182"/>
      <c r="BO599" s="1060" t="s">
        <v>1791</v>
      </c>
      <c r="BW599" s="1181"/>
    </row>
    <row r="600" spans="51:75">
      <c r="AY600" s="1184"/>
      <c r="AZ600" s="1183" t="s">
        <v>1132</v>
      </c>
      <c r="BA600" s="1172">
        <v>8</v>
      </c>
      <c r="BB600" s="1152">
        <v>1.1499999999999999</v>
      </c>
      <c r="BC600" s="1097">
        <v>4.9000000000000004</v>
      </c>
      <c r="BD600" s="1061">
        <v>3000</v>
      </c>
      <c r="BE600" s="1061">
        <v>4000</v>
      </c>
      <c r="BF600" s="1061">
        <v>5000</v>
      </c>
      <c r="BG600" s="1061">
        <v>8000</v>
      </c>
      <c r="BH600" s="1061">
        <v>11000</v>
      </c>
      <c r="BI600" s="1061">
        <v>14000</v>
      </c>
      <c r="BJ600" s="1060" t="s">
        <v>1320</v>
      </c>
      <c r="BL600" s="1060" t="s">
        <v>1390</v>
      </c>
      <c r="BN600" s="1182"/>
      <c r="BO600" s="1060" t="s">
        <v>1790</v>
      </c>
      <c r="BW600" s="1181"/>
    </row>
    <row r="601" spans="51:75">
      <c r="AY601" s="1184"/>
      <c r="AZ601" s="1183" t="s">
        <v>1188</v>
      </c>
      <c r="BA601" s="1172">
        <v>8</v>
      </c>
      <c r="BB601" s="1152">
        <v>1.1499999999999999</v>
      </c>
      <c r="BC601" s="1097">
        <v>4.9000000000000004</v>
      </c>
      <c r="BD601" s="1061">
        <v>3000</v>
      </c>
      <c r="BE601" s="1061">
        <v>4000</v>
      </c>
      <c r="BF601" s="1061">
        <v>5000</v>
      </c>
      <c r="BG601" s="1061">
        <v>8000</v>
      </c>
      <c r="BH601" s="1061">
        <v>11000</v>
      </c>
      <c r="BI601" s="1061">
        <v>14000</v>
      </c>
      <c r="BJ601" s="1060" t="s">
        <v>1320</v>
      </c>
      <c r="BL601" s="1060" t="s">
        <v>1390</v>
      </c>
      <c r="BN601" s="1182"/>
      <c r="BO601" s="1060" t="s">
        <v>1789</v>
      </c>
      <c r="BW601" s="1181"/>
    </row>
    <row r="602" spans="51:75">
      <c r="AY602" s="1184"/>
      <c r="AZ602" s="1183" t="s">
        <v>1133</v>
      </c>
      <c r="BA602" s="1172">
        <v>8</v>
      </c>
      <c r="BB602" s="1152">
        <v>1.1499999999999999</v>
      </c>
      <c r="BC602" s="1097">
        <v>4.9000000000000004</v>
      </c>
      <c r="BD602" s="1061">
        <v>3000</v>
      </c>
      <c r="BE602" s="1061">
        <v>4000</v>
      </c>
      <c r="BF602" s="1061">
        <v>5000</v>
      </c>
      <c r="BG602" s="1061">
        <v>8000</v>
      </c>
      <c r="BH602" s="1061">
        <v>11000</v>
      </c>
      <c r="BI602" s="1061">
        <v>14000</v>
      </c>
      <c r="BJ602" s="1060" t="s">
        <v>1320</v>
      </c>
      <c r="BL602" s="1060" t="s">
        <v>1390</v>
      </c>
      <c r="BN602" s="1182"/>
      <c r="BO602" s="1060" t="s">
        <v>1788</v>
      </c>
      <c r="BW602" s="1181"/>
    </row>
    <row r="603" spans="51:75">
      <c r="AY603" s="1184"/>
      <c r="AZ603" s="1183" t="s">
        <v>765</v>
      </c>
      <c r="BA603" s="1172">
        <v>1</v>
      </c>
      <c r="BB603" s="1152">
        <v>0.6</v>
      </c>
      <c r="BC603" s="1097">
        <v>6.4</v>
      </c>
      <c r="BD603" s="1061">
        <v>400</v>
      </c>
      <c r="BE603" s="1061">
        <v>800</v>
      </c>
      <c r="BF603" s="1061">
        <v>1200</v>
      </c>
      <c r="BG603" s="1061">
        <v>1500</v>
      </c>
      <c r="BH603" s="1061">
        <v>2000</v>
      </c>
      <c r="BI603" s="1061">
        <v>2500</v>
      </c>
      <c r="BJ603" s="1060" t="s">
        <v>1320</v>
      </c>
      <c r="BL603" s="1060" t="s">
        <v>1329</v>
      </c>
      <c r="BN603" s="1182"/>
      <c r="BO603" s="1060" t="s">
        <v>1787</v>
      </c>
      <c r="BW603" s="1181"/>
    </row>
    <row r="604" spans="51:75">
      <c r="AY604" s="1184"/>
      <c r="AZ604" s="1183" t="s">
        <v>767</v>
      </c>
      <c r="BA604" s="1172">
        <v>1</v>
      </c>
      <c r="BB604" s="1152">
        <v>0.6</v>
      </c>
      <c r="BC604" s="1097">
        <v>6.4</v>
      </c>
      <c r="BD604" s="1061">
        <v>400</v>
      </c>
      <c r="BE604" s="1061">
        <v>800</v>
      </c>
      <c r="BF604" s="1061">
        <v>1200</v>
      </c>
      <c r="BG604" s="1061">
        <v>1500</v>
      </c>
      <c r="BH604" s="1061">
        <v>2000</v>
      </c>
      <c r="BI604" s="1061">
        <v>2500</v>
      </c>
      <c r="BJ604" s="1060" t="s">
        <v>1320</v>
      </c>
      <c r="BL604" s="1060" t="s">
        <v>1329</v>
      </c>
      <c r="BN604" s="1182"/>
      <c r="BO604" s="1060" t="s">
        <v>1786</v>
      </c>
      <c r="BW604" s="1181"/>
    </row>
    <row r="605" spans="51:75">
      <c r="AY605" s="1184"/>
      <c r="AZ605" s="1183" t="s">
        <v>768</v>
      </c>
      <c r="BA605" s="1172">
        <v>1</v>
      </c>
      <c r="BB605" s="1152">
        <v>0.54</v>
      </c>
      <c r="BC605" s="1097">
        <v>6.5</v>
      </c>
      <c r="BD605" s="1061">
        <v>400</v>
      </c>
      <c r="BE605" s="1061">
        <v>800</v>
      </c>
      <c r="BF605" s="1061">
        <v>1200</v>
      </c>
      <c r="BG605" s="1061">
        <v>1500</v>
      </c>
      <c r="BH605" s="1061">
        <v>2000</v>
      </c>
      <c r="BI605" s="1061">
        <v>2500</v>
      </c>
      <c r="BJ605" s="1060" t="s">
        <v>1320</v>
      </c>
      <c r="BL605" s="1060" t="s">
        <v>1329</v>
      </c>
      <c r="BN605" s="1182"/>
      <c r="BO605" s="1060" t="s">
        <v>1785</v>
      </c>
      <c r="BW605" s="1181"/>
    </row>
    <row r="606" spans="51:75">
      <c r="AY606" s="1184"/>
      <c r="AZ606" s="1183" t="s">
        <v>769</v>
      </c>
      <c r="BA606" s="1172">
        <v>1</v>
      </c>
      <c r="BB606" s="1152">
        <v>0.6</v>
      </c>
      <c r="BC606" s="1097">
        <v>6.4</v>
      </c>
      <c r="BD606" s="1061">
        <v>400</v>
      </c>
      <c r="BE606" s="1061">
        <v>800</v>
      </c>
      <c r="BF606" s="1061">
        <v>1200</v>
      </c>
      <c r="BG606" s="1061">
        <v>1500</v>
      </c>
      <c r="BH606" s="1061">
        <v>2000</v>
      </c>
      <c r="BI606" s="1061">
        <v>2500</v>
      </c>
      <c r="BJ606" s="1060" t="s">
        <v>1320</v>
      </c>
      <c r="BL606" s="1060" t="s">
        <v>1329</v>
      </c>
      <c r="BN606" s="1182"/>
      <c r="BO606" s="1060" t="s">
        <v>1784</v>
      </c>
      <c r="BW606" s="1181"/>
    </row>
    <row r="607" spans="51:75">
      <c r="AY607" s="1184"/>
      <c r="AZ607" s="1183" t="s">
        <v>770</v>
      </c>
      <c r="BA607" s="1172">
        <v>1</v>
      </c>
      <c r="BB607" s="1152">
        <v>0.54</v>
      </c>
      <c r="BC607" s="1097">
        <v>6.5</v>
      </c>
      <c r="BD607" s="1061">
        <v>400</v>
      </c>
      <c r="BE607" s="1061">
        <v>800</v>
      </c>
      <c r="BF607" s="1061">
        <v>1200</v>
      </c>
      <c r="BG607" s="1061">
        <v>1500</v>
      </c>
      <c r="BH607" s="1061">
        <v>2000</v>
      </c>
      <c r="BI607" s="1061">
        <v>2500</v>
      </c>
      <c r="BJ607" s="1060" t="s">
        <v>1320</v>
      </c>
      <c r="BL607" s="1060" t="s">
        <v>1329</v>
      </c>
      <c r="BN607" s="1182"/>
      <c r="BO607" s="1060" t="s">
        <v>1783</v>
      </c>
      <c r="BW607" s="1181"/>
    </row>
    <row r="608" spans="51:75">
      <c r="AY608" s="1184"/>
      <c r="AZ608" s="1183" t="s">
        <v>1134</v>
      </c>
      <c r="BA608" s="1172">
        <v>8</v>
      </c>
      <c r="BB608" s="1152">
        <v>5.05</v>
      </c>
      <c r="BC608" s="1097">
        <v>5.0999999999999996</v>
      </c>
      <c r="BD608" s="1061">
        <v>3000</v>
      </c>
      <c r="BE608" s="1061">
        <v>4000</v>
      </c>
      <c r="BF608" s="1061">
        <v>5000</v>
      </c>
      <c r="BG608" s="1061">
        <v>8000</v>
      </c>
      <c r="BH608" s="1061">
        <v>11000</v>
      </c>
      <c r="BI608" s="1061">
        <v>14000</v>
      </c>
      <c r="BJ608" s="1060" t="s">
        <v>1320</v>
      </c>
      <c r="BL608" s="1060" t="s">
        <v>1324</v>
      </c>
      <c r="BN608" s="1182"/>
      <c r="BO608" s="1060" t="s">
        <v>1782</v>
      </c>
      <c r="BW608" s="1181"/>
    </row>
    <row r="609" spans="51:75">
      <c r="AY609" s="1184"/>
      <c r="AZ609" s="1183" t="s">
        <v>1135</v>
      </c>
      <c r="BA609" s="1172">
        <v>8</v>
      </c>
      <c r="BB609" s="1152">
        <v>5.05</v>
      </c>
      <c r="BC609" s="1097">
        <v>5.0999999999999996</v>
      </c>
      <c r="BD609" s="1061">
        <v>3000</v>
      </c>
      <c r="BE609" s="1061">
        <v>4000</v>
      </c>
      <c r="BF609" s="1061">
        <v>5000</v>
      </c>
      <c r="BG609" s="1061">
        <v>8000</v>
      </c>
      <c r="BH609" s="1061">
        <v>11000</v>
      </c>
      <c r="BI609" s="1061">
        <v>14000</v>
      </c>
      <c r="BJ609" s="1060" t="s">
        <v>1320</v>
      </c>
      <c r="BL609" s="1060" t="s">
        <v>1324</v>
      </c>
      <c r="BN609" s="1182"/>
      <c r="BO609" s="1060" t="s">
        <v>1781</v>
      </c>
      <c r="BW609" s="1181"/>
    </row>
    <row r="610" spans="51:75">
      <c r="AY610" s="1184"/>
      <c r="AZ610" s="1183" t="s">
        <v>832</v>
      </c>
      <c r="BA610" s="1172">
        <v>2</v>
      </c>
      <c r="BB610" s="1152">
        <v>1.37</v>
      </c>
      <c r="BC610" s="1097">
        <v>7.2</v>
      </c>
      <c r="BD610" s="1061">
        <v>700</v>
      </c>
      <c r="BE610" s="1061">
        <v>1200</v>
      </c>
      <c r="BF610" s="1061">
        <v>1700</v>
      </c>
      <c r="BG610" s="1061">
        <v>2000</v>
      </c>
      <c r="BH610" s="1061">
        <v>2500</v>
      </c>
      <c r="BI610" s="1061">
        <v>3000</v>
      </c>
      <c r="BJ610" s="1060" t="s">
        <v>1320</v>
      </c>
      <c r="BL610" s="1060" t="s">
        <v>1329</v>
      </c>
      <c r="BN610" s="1182"/>
      <c r="BO610" s="1060" t="s">
        <v>1780</v>
      </c>
      <c r="BW610" s="1181"/>
    </row>
    <row r="611" spans="51:75">
      <c r="AY611" s="1184"/>
      <c r="AZ611" s="1183" t="s">
        <v>833</v>
      </c>
      <c r="BA611" s="1172">
        <v>2</v>
      </c>
      <c r="BB611" s="1152">
        <v>1.37</v>
      </c>
      <c r="BC611" s="1097">
        <v>7.2</v>
      </c>
      <c r="BD611" s="1061">
        <v>700</v>
      </c>
      <c r="BE611" s="1061">
        <v>1200</v>
      </c>
      <c r="BF611" s="1061">
        <v>1700</v>
      </c>
      <c r="BG611" s="1061">
        <v>2000</v>
      </c>
      <c r="BH611" s="1061">
        <v>2500</v>
      </c>
      <c r="BI611" s="1061">
        <v>3000</v>
      </c>
      <c r="BJ611" s="1060" t="s">
        <v>1320</v>
      </c>
      <c r="BL611" s="1060" t="s">
        <v>1329</v>
      </c>
      <c r="BN611" s="1182"/>
      <c r="BO611" s="1060" t="s">
        <v>1779</v>
      </c>
      <c r="BW611" s="1181"/>
    </row>
    <row r="612" spans="51:75">
      <c r="AY612" s="1184"/>
      <c r="AZ612" s="1183" t="s">
        <v>940</v>
      </c>
      <c r="BA612" s="1172">
        <v>3</v>
      </c>
      <c r="BB612" s="1152">
        <v>0.26</v>
      </c>
      <c r="BC612" s="1097">
        <v>6.4</v>
      </c>
      <c r="BD612" s="1061">
        <v>1000</v>
      </c>
      <c r="BE612" s="1061">
        <v>1500</v>
      </c>
      <c r="BF612" s="1061">
        <v>2000</v>
      </c>
      <c r="BG612" s="1061">
        <v>3000</v>
      </c>
      <c r="BH612" s="1061">
        <v>5000</v>
      </c>
      <c r="BI612" s="1061">
        <v>7000</v>
      </c>
      <c r="BJ612" s="1060" t="s">
        <v>1320</v>
      </c>
      <c r="BL612" s="1060" t="s">
        <v>1333</v>
      </c>
      <c r="BN612" s="1182"/>
      <c r="BO612" s="1060" t="s">
        <v>1778</v>
      </c>
      <c r="BW612" s="1181"/>
    </row>
    <row r="613" spans="51:75">
      <c r="AY613" s="1184"/>
      <c r="AZ613" s="1183" t="s">
        <v>941</v>
      </c>
      <c r="BA613" s="1172">
        <v>3</v>
      </c>
      <c r="BB613" s="1152">
        <v>0.63</v>
      </c>
      <c r="BC613" s="1097">
        <v>6.1</v>
      </c>
      <c r="BD613" s="1061">
        <v>1000</v>
      </c>
      <c r="BE613" s="1061">
        <v>1500</v>
      </c>
      <c r="BF613" s="1061">
        <v>2000</v>
      </c>
      <c r="BG613" s="1061">
        <v>3000</v>
      </c>
      <c r="BH613" s="1061">
        <v>5000</v>
      </c>
      <c r="BI613" s="1061">
        <v>7000</v>
      </c>
      <c r="BJ613" s="1060" t="s">
        <v>1320</v>
      </c>
      <c r="BL613" s="1060" t="s">
        <v>1333</v>
      </c>
      <c r="BN613" s="1182"/>
      <c r="BO613" s="1060" t="s">
        <v>1777</v>
      </c>
      <c r="BW613" s="1181"/>
    </row>
    <row r="614" spans="51:75">
      <c r="AY614" s="1184"/>
      <c r="AZ614" s="1183" t="s">
        <v>942</v>
      </c>
      <c r="BA614" s="1172">
        <v>3</v>
      </c>
      <c r="BB614" s="1152">
        <v>0.63</v>
      </c>
      <c r="BC614" s="1097">
        <v>6.1</v>
      </c>
      <c r="BD614" s="1061">
        <v>1000</v>
      </c>
      <c r="BE614" s="1061">
        <v>1500</v>
      </c>
      <c r="BF614" s="1061">
        <v>2000</v>
      </c>
      <c r="BG614" s="1061">
        <v>3000</v>
      </c>
      <c r="BH614" s="1061">
        <v>5000</v>
      </c>
      <c r="BI614" s="1061">
        <v>7000</v>
      </c>
      <c r="BJ614" s="1060" t="s">
        <v>1320</v>
      </c>
      <c r="BL614" s="1060" t="s">
        <v>1333</v>
      </c>
      <c r="BN614" s="1182"/>
      <c r="BO614" s="1060" t="s">
        <v>1776</v>
      </c>
      <c r="BW614" s="1181"/>
    </row>
    <row r="615" spans="51:75">
      <c r="AY615" s="1184"/>
      <c r="AZ615" s="1183" t="s">
        <v>943</v>
      </c>
      <c r="BA615" s="1172">
        <v>3</v>
      </c>
      <c r="BB615" s="1152">
        <v>0.63</v>
      </c>
      <c r="BC615" s="1097">
        <v>6.1</v>
      </c>
      <c r="BD615" s="1061">
        <v>1000</v>
      </c>
      <c r="BE615" s="1061">
        <v>1500</v>
      </c>
      <c r="BF615" s="1061">
        <v>2000</v>
      </c>
      <c r="BG615" s="1061">
        <v>3000</v>
      </c>
      <c r="BH615" s="1061">
        <v>5000</v>
      </c>
      <c r="BI615" s="1061">
        <v>7000</v>
      </c>
      <c r="BJ615" s="1060" t="s">
        <v>1320</v>
      </c>
      <c r="BL615" s="1060" t="s">
        <v>1333</v>
      </c>
      <c r="BN615" s="1182"/>
      <c r="BO615" s="1060" t="s">
        <v>1775</v>
      </c>
      <c r="BW615" s="1181"/>
    </row>
    <row r="616" spans="51:75">
      <c r="AY616" s="1184"/>
      <c r="AZ616" s="1183" t="s">
        <v>944</v>
      </c>
      <c r="BA616" s="1172">
        <v>3</v>
      </c>
      <c r="BB616" s="1152">
        <v>0.23</v>
      </c>
      <c r="BC616" s="1097">
        <v>5.7</v>
      </c>
      <c r="BD616" s="1061">
        <v>1000</v>
      </c>
      <c r="BE616" s="1061">
        <v>1500</v>
      </c>
      <c r="BF616" s="1061">
        <v>2000</v>
      </c>
      <c r="BG616" s="1061">
        <v>3000</v>
      </c>
      <c r="BH616" s="1061">
        <v>5000</v>
      </c>
      <c r="BI616" s="1061">
        <v>7000</v>
      </c>
      <c r="BJ616" s="1060" t="s">
        <v>1320</v>
      </c>
      <c r="BL616" s="1060" t="s">
        <v>1333</v>
      </c>
      <c r="BN616" s="1182"/>
      <c r="BO616" s="1060" t="s">
        <v>1774</v>
      </c>
      <c r="BW616" s="1181"/>
    </row>
    <row r="617" spans="51:75">
      <c r="AY617" s="1184"/>
      <c r="AZ617" s="1183" t="s">
        <v>945</v>
      </c>
      <c r="BA617" s="1172">
        <v>3</v>
      </c>
      <c r="BB617" s="1152">
        <v>0.97</v>
      </c>
      <c r="BC617" s="1097">
        <v>6.9</v>
      </c>
      <c r="BD617" s="1061">
        <v>1000</v>
      </c>
      <c r="BE617" s="1061">
        <v>1500</v>
      </c>
      <c r="BF617" s="1061">
        <v>2000</v>
      </c>
      <c r="BG617" s="1061">
        <v>3000</v>
      </c>
      <c r="BH617" s="1061">
        <v>5000</v>
      </c>
      <c r="BI617" s="1061">
        <v>7000</v>
      </c>
      <c r="BJ617" s="1060" t="s">
        <v>1320</v>
      </c>
      <c r="BL617" s="1060" t="s">
        <v>1324</v>
      </c>
      <c r="BN617" s="1182"/>
      <c r="BO617" s="1060" t="s">
        <v>1773</v>
      </c>
      <c r="BW617" s="1181"/>
    </row>
    <row r="618" spans="51:75">
      <c r="AY618" s="1184"/>
      <c r="AZ618" s="1183" t="s">
        <v>946</v>
      </c>
      <c r="BA618" s="1172">
        <v>3</v>
      </c>
      <c r="BB618" s="1152">
        <v>0.97</v>
      </c>
      <c r="BC618" s="1097">
        <v>6.9</v>
      </c>
      <c r="BD618" s="1061">
        <v>1000</v>
      </c>
      <c r="BE618" s="1061">
        <v>1500</v>
      </c>
      <c r="BF618" s="1061">
        <v>2000</v>
      </c>
      <c r="BG618" s="1061">
        <v>3000</v>
      </c>
      <c r="BH618" s="1061">
        <v>5000</v>
      </c>
      <c r="BI618" s="1061">
        <v>7000</v>
      </c>
      <c r="BJ618" s="1060" t="s">
        <v>1320</v>
      </c>
      <c r="BL618" s="1060" t="s">
        <v>1324</v>
      </c>
      <c r="BN618" s="1182"/>
      <c r="BO618" s="1060" t="s">
        <v>1772</v>
      </c>
      <c r="BW618" s="1181"/>
    </row>
    <row r="619" spans="51:75">
      <c r="AY619" s="1184"/>
      <c r="AZ619" s="1183" t="s">
        <v>947</v>
      </c>
      <c r="BA619" s="1172">
        <v>3</v>
      </c>
      <c r="BB619" s="1152">
        <v>0.97</v>
      </c>
      <c r="BC619" s="1097">
        <v>7</v>
      </c>
      <c r="BD619" s="1061">
        <v>1000</v>
      </c>
      <c r="BE619" s="1061">
        <v>1500</v>
      </c>
      <c r="BF619" s="1061">
        <v>2000</v>
      </c>
      <c r="BG619" s="1061">
        <v>3000</v>
      </c>
      <c r="BH619" s="1061">
        <v>5000</v>
      </c>
      <c r="BI619" s="1061">
        <v>7000</v>
      </c>
      <c r="BJ619" s="1060" t="s">
        <v>1320</v>
      </c>
      <c r="BL619" s="1060" t="s">
        <v>1324</v>
      </c>
      <c r="BN619" s="1182"/>
      <c r="BO619" s="1060" t="s">
        <v>1771</v>
      </c>
      <c r="BW619" s="1181"/>
    </row>
    <row r="620" spans="51:75">
      <c r="AY620" s="1184"/>
      <c r="AZ620" s="1183" t="s">
        <v>948</v>
      </c>
      <c r="BA620" s="1172">
        <v>3</v>
      </c>
      <c r="BB620" s="1152">
        <v>0.97</v>
      </c>
      <c r="BC620" s="1097">
        <v>7</v>
      </c>
      <c r="BD620" s="1061">
        <v>1000</v>
      </c>
      <c r="BE620" s="1061">
        <v>1500</v>
      </c>
      <c r="BF620" s="1061">
        <v>2000</v>
      </c>
      <c r="BG620" s="1061">
        <v>3000</v>
      </c>
      <c r="BH620" s="1061">
        <v>5000</v>
      </c>
      <c r="BI620" s="1061">
        <v>7000</v>
      </c>
      <c r="BJ620" s="1060" t="s">
        <v>1320</v>
      </c>
      <c r="BL620" s="1060" t="s">
        <v>1324</v>
      </c>
      <c r="BN620" s="1182"/>
      <c r="BO620" s="1060" t="s">
        <v>1770</v>
      </c>
      <c r="BW620" s="1181"/>
    </row>
    <row r="621" spans="51:75">
      <c r="AY621" s="1184"/>
      <c r="AZ621" s="1183" t="s">
        <v>949</v>
      </c>
      <c r="BA621" s="1172">
        <v>3</v>
      </c>
      <c r="BB621" s="1152">
        <v>0.97</v>
      </c>
      <c r="BC621" s="1097">
        <v>6.9</v>
      </c>
      <c r="BD621" s="1061">
        <v>1000</v>
      </c>
      <c r="BE621" s="1061">
        <v>1500</v>
      </c>
      <c r="BF621" s="1061">
        <v>2000</v>
      </c>
      <c r="BG621" s="1061">
        <v>3000</v>
      </c>
      <c r="BH621" s="1061">
        <v>5000</v>
      </c>
      <c r="BI621" s="1061">
        <v>7000</v>
      </c>
      <c r="BJ621" s="1060" t="s">
        <v>1320</v>
      </c>
      <c r="BL621" s="1060" t="s">
        <v>1324</v>
      </c>
      <c r="BN621" s="1182"/>
      <c r="BO621" s="1060" t="s">
        <v>1769</v>
      </c>
      <c r="BW621" s="1181"/>
    </row>
    <row r="622" spans="51:75">
      <c r="AY622" s="1184"/>
      <c r="AZ622" s="1183" t="s">
        <v>950</v>
      </c>
      <c r="BA622" s="1172">
        <v>3</v>
      </c>
      <c r="BB622" s="1152">
        <v>0.97</v>
      </c>
      <c r="BC622" s="1097">
        <v>6.9</v>
      </c>
      <c r="BD622" s="1061">
        <v>1000</v>
      </c>
      <c r="BE622" s="1061">
        <v>1500</v>
      </c>
      <c r="BF622" s="1061">
        <v>2000</v>
      </c>
      <c r="BG622" s="1061">
        <v>3000</v>
      </c>
      <c r="BH622" s="1061">
        <v>5000</v>
      </c>
      <c r="BI622" s="1061">
        <v>7000</v>
      </c>
      <c r="BJ622" s="1060" t="s">
        <v>1320</v>
      </c>
      <c r="BL622" s="1060" t="s">
        <v>1324</v>
      </c>
      <c r="BN622" s="1182"/>
      <c r="BO622" s="1060" t="s">
        <v>1768</v>
      </c>
      <c r="BW622" s="1181"/>
    </row>
    <row r="623" spans="51:75">
      <c r="AY623" s="1184"/>
      <c r="AZ623" s="1183" t="s">
        <v>1060</v>
      </c>
      <c r="BA623" s="1172">
        <v>6</v>
      </c>
      <c r="BB623" s="1152">
        <v>2.99</v>
      </c>
      <c r="BC623" s="1097">
        <v>4.3</v>
      </c>
      <c r="BD623" s="1061">
        <v>7000</v>
      </c>
      <c r="BE623" s="1061">
        <v>9000</v>
      </c>
      <c r="BF623" s="1061">
        <v>11000</v>
      </c>
      <c r="BG623" s="1061">
        <v>15000</v>
      </c>
      <c r="BH623" s="1061">
        <v>18500</v>
      </c>
      <c r="BI623" s="1061">
        <v>22000</v>
      </c>
      <c r="BJ623" s="1060" t="s">
        <v>1320</v>
      </c>
      <c r="BL623" s="1060" t="s">
        <v>1333</v>
      </c>
      <c r="BN623" s="1182"/>
      <c r="BO623" s="1060" t="s">
        <v>1767</v>
      </c>
      <c r="BW623" s="1181"/>
    </row>
    <row r="624" spans="51:75">
      <c r="AY624" s="1184"/>
      <c r="AZ624" s="1183" t="s">
        <v>1061</v>
      </c>
      <c r="BA624" s="1172">
        <v>6</v>
      </c>
      <c r="BB624" s="1152">
        <v>2.99</v>
      </c>
      <c r="BC624" s="1097">
        <v>4.3</v>
      </c>
      <c r="BD624" s="1061">
        <v>7000</v>
      </c>
      <c r="BE624" s="1061">
        <v>9000</v>
      </c>
      <c r="BF624" s="1061">
        <v>11000</v>
      </c>
      <c r="BG624" s="1061">
        <v>15000</v>
      </c>
      <c r="BH624" s="1061">
        <v>18500</v>
      </c>
      <c r="BI624" s="1061">
        <v>22000</v>
      </c>
      <c r="BJ624" s="1060" t="s">
        <v>1320</v>
      </c>
      <c r="BL624" s="1060" t="s">
        <v>1333</v>
      </c>
      <c r="BN624" s="1182"/>
      <c r="BO624" s="1060" t="s">
        <v>1766</v>
      </c>
      <c r="BW624" s="1181"/>
    </row>
    <row r="625" spans="51:75">
      <c r="AY625" s="1184"/>
      <c r="AZ625" s="1183" t="s">
        <v>1062</v>
      </c>
      <c r="BA625" s="1172">
        <v>6</v>
      </c>
      <c r="BB625" s="1152">
        <v>2.61</v>
      </c>
      <c r="BC625" s="1097">
        <v>4.3</v>
      </c>
      <c r="BD625" s="1061">
        <v>7000</v>
      </c>
      <c r="BE625" s="1061">
        <v>9000</v>
      </c>
      <c r="BF625" s="1061">
        <v>11000</v>
      </c>
      <c r="BG625" s="1061">
        <v>15000</v>
      </c>
      <c r="BH625" s="1061">
        <v>18500</v>
      </c>
      <c r="BI625" s="1061">
        <v>22000</v>
      </c>
      <c r="BJ625" s="1060" t="s">
        <v>1320</v>
      </c>
      <c r="BL625" s="1060" t="s">
        <v>1333</v>
      </c>
      <c r="BN625" s="1182"/>
      <c r="BO625" s="1060" t="s">
        <v>1765</v>
      </c>
      <c r="BW625" s="1181"/>
    </row>
    <row r="626" spans="51:75">
      <c r="AY626" s="1184"/>
      <c r="AZ626" s="1183" t="s">
        <v>1063</v>
      </c>
      <c r="BA626" s="1172">
        <v>6</v>
      </c>
      <c r="BB626" s="1152">
        <v>2.61</v>
      </c>
      <c r="BC626" s="1097">
        <v>4.3</v>
      </c>
      <c r="BD626" s="1061">
        <v>7000</v>
      </c>
      <c r="BE626" s="1061">
        <v>9000</v>
      </c>
      <c r="BF626" s="1061">
        <v>11000</v>
      </c>
      <c r="BG626" s="1061">
        <v>15000</v>
      </c>
      <c r="BH626" s="1061">
        <v>18500</v>
      </c>
      <c r="BI626" s="1061">
        <v>22000</v>
      </c>
      <c r="BJ626" s="1060" t="s">
        <v>1320</v>
      </c>
      <c r="BL626" s="1060" t="s">
        <v>1333</v>
      </c>
      <c r="BN626" s="1182"/>
      <c r="BO626" s="1060" t="s">
        <v>1764</v>
      </c>
      <c r="BW626" s="1181"/>
    </row>
    <row r="627" spans="51:75">
      <c r="AY627" s="1184"/>
      <c r="AZ627" s="1183" t="s">
        <v>1021</v>
      </c>
      <c r="BA627" s="1172">
        <v>4</v>
      </c>
      <c r="BB627" s="1152">
        <v>4.9400000000000004</v>
      </c>
      <c r="BC627" s="1097">
        <v>7.5</v>
      </c>
      <c r="BD627" s="1061">
        <v>2000</v>
      </c>
      <c r="BE627" s="1061">
        <v>3000</v>
      </c>
      <c r="BF627" s="1061">
        <v>4000</v>
      </c>
      <c r="BG627" s="1061">
        <v>5000</v>
      </c>
      <c r="BH627" s="1061">
        <v>7000</v>
      </c>
      <c r="BI627" s="1061">
        <v>9000</v>
      </c>
      <c r="BJ627" s="1060" t="s">
        <v>1348</v>
      </c>
      <c r="BL627" s="1060" t="s">
        <v>1324</v>
      </c>
      <c r="BN627" s="1182"/>
      <c r="BO627" s="1060" t="s">
        <v>1763</v>
      </c>
      <c r="BW627" s="1181"/>
    </row>
    <row r="628" spans="51:75">
      <c r="AY628" s="1184"/>
      <c r="AZ628" s="1183" t="s">
        <v>771</v>
      </c>
      <c r="BA628" s="1172">
        <v>1</v>
      </c>
      <c r="BB628" s="1152">
        <v>0.24</v>
      </c>
      <c r="BC628" s="1097">
        <v>7.4</v>
      </c>
      <c r="BD628" s="1061">
        <v>400</v>
      </c>
      <c r="BE628" s="1061">
        <v>800</v>
      </c>
      <c r="BF628" s="1061">
        <v>1200</v>
      </c>
      <c r="BG628" s="1061">
        <v>1500</v>
      </c>
      <c r="BH628" s="1061">
        <v>2000</v>
      </c>
      <c r="BI628" s="1061">
        <v>2500</v>
      </c>
      <c r="BJ628" s="1060" t="s">
        <v>1320</v>
      </c>
      <c r="BL628" s="1060" t="s">
        <v>1324</v>
      </c>
      <c r="BN628" s="1182"/>
      <c r="BO628" s="1060" t="s">
        <v>1762</v>
      </c>
      <c r="BW628" s="1181"/>
    </row>
    <row r="629" spans="51:75">
      <c r="AY629" s="1184"/>
      <c r="AZ629" s="1183" t="s">
        <v>775</v>
      </c>
      <c r="BA629" s="1172">
        <v>1</v>
      </c>
      <c r="BB629" s="1152">
        <v>0.36</v>
      </c>
      <c r="BC629" s="1097">
        <v>8.1999999999999993</v>
      </c>
      <c r="BD629" s="1061">
        <v>400</v>
      </c>
      <c r="BE629" s="1061">
        <v>800</v>
      </c>
      <c r="BF629" s="1061">
        <v>1200</v>
      </c>
      <c r="BG629" s="1061">
        <v>1500</v>
      </c>
      <c r="BH629" s="1061">
        <v>2000</v>
      </c>
      <c r="BI629" s="1061">
        <v>2500</v>
      </c>
      <c r="BJ629" s="1060" t="s">
        <v>1320</v>
      </c>
      <c r="BL629" s="1060" t="s">
        <v>1324</v>
      </c>
      <c r="BN629" s="1182"/>
      <c r="BO629" s="1060" t="s">
        <v>1761</v>
      </c>
      <c r="BW629" s="1181"/>
    </row>
    <row r="630" spans="51:75">
      <c r="AY630" s="1184"/>
      <c r="AZ630" s="1183" t="s">
        <v>772</v>
      </c>
      <c r="BA630" s="1172">
        <v>1</v>
      </c>
      <c r="BB630" s="1152">
        <v>0.28000000000000003</v>
      </c>
      <c r="BC630" s="1097">
        <v>7.4</v>
      </c>
      <c r="BD630" s="1061">
        <v>400</v>
      </c>
      <c r="BE630" s="1061">
        <v>800</v>
      </c>
      <c r="BF630" s="1061">
        <v>1200</v>
      </c>
      <c r="BG630" s="1061">
        <v>1500</v>
      </c>
      <c r="BH630" s="1061">
        <v>2000</v>
      </c>
      <c r="BI630" s="1061">
        <v>2500</v>
      </c>
      <c r="BJ630" s="1060" t="s">
        <v>1320</v>
      </c>
      <c r="BL630" s="1060" t="s">
        <v>1333</v>
      </c>
      <c r="BN630" s="1182"/>
      <c r="BO630" s="1060" t="s">
        <v>1760</v>
      </c>
      <c r="BW630" s="1181"/>
    </row>
    <row r="631" spans="51:75">
      <c r="AY631" s="1184"/>
      <c r="AZ631" s="1183" t="s">
        <v>773</v>
      </c>
      <c r="BA631" s="1172">
        <v>1</v>
      </c>
      <c r="BB631" s="1152">
        <v>0.3</v>
      </c>
      <c r="BC631" s="1097">
        <v>7</v>
      </c>
      <c r="BD631" s="1061">
        <v>400</v>
      </c>
      <c r="BE631" s="1061">
        <v>800</v>
      </c>
      <c r="BF631" s="1061">
        <v>1200</v>
      </c>
      <c r="BG631" s="1061">
        <v>1500</v>
      </c>
      <c r="BH631" s="1061">
        <v>2000</v>
      </c>
      <c r="BI631" s="1061">
        <v>2500</v>
      </c>
      <c r="BJ631" s="1060" t="s">
        <v>1320</v>
      </c>
      <c r="BL631" s="1060" t="s">
        <v>1333</v>
      </c>
      <c r="BN631" s="1182"/>
      <c r="BO631" s="1060" t="s">
        <v>1759</v>
      </c>
      <c r="BW631" s="1181"/>
    </row>
    <row r="632" spans="51:75">
      <c r="AY632" s="1184"/>
      <c r="AZ632" s="1183" t="s">
        <v>774</v>
      </c>
      <c r="BA632" s="1172">
        <v>1</v>
      </c>
      <c r="BB632" s="1152">
        <v>0.24</v>
      </c>
      <c r="BC632" s="1097">
        <v>7.4</v>
      </c>
      <c r="BD632" s="1061">
        <v>400</v>
      </c>
      <c r="BE632" s="1061">
        <v>800</v>
      </c>
      <c r="BF632" s="1061">
        <v>1200</v>
      </c>
      <c r="BG632" s="1061">
        <v>1500</v>
      </c>
      <c r="BH632" s="1061">
        <v>2000</v>
      </c>
      <c r="BI632" s="1061">
        <v>2500</v>
      </c>
      <c r="BJ632" s="1060" t="s">
        <v>1320</v>
      </c>
      <c r="BL632" s="1060" t="s">
        <v>1333</v>
      </c>
      <c r="BN632" s="1182"/>
      <c r="BO632" s="1060" t="s">
        <v>1758</v>
      </c>
      <c r="BW632" s="1181"/>
    </row>
    <row r="633" spans="51:75">
      <c r="AY633" s="1184"/>
      <c r="AZ633" s="1183" t="s">
        <v>1108</v>
      </c>
      <c r="BA633" s="1172">
        <v>7</v>
      </c>
      <c r="BB633" s="1152">
        <v>0.81</v>
      </c>
      <c r="BC633" s="1097">
        <v>7</v>
      </c>
      <c r="BD633" s="1061">
        <v>4000</v>
      </c>
      <c r="BE633" s="1061">
        <v>5000</v>
      </c>
      <c r="BF633" s="1061">
        <v>6000</v>
      </c>
      <c r="BG633" s="1061">
        <v>8000</v>
      </c>
      <c r="BH633" s="1061">
        <v>10000</v>
      </c>
      <c r="BI633" s="1061">
        <v>12000</v>
      </c>
      <c r="BJ633" s="1060" t="s">
        <v>1320</v>
      </c>
      <c r="BL633" s="1060" t="s">
        <v>1387</v>
      </c>
      <c r="BN633" s="1182"/>
      <c r="BO633" s="1060" t="s">
        <v>1757</v>
      </c>
      <c r="BW633" s="1181"/>
    </row>
    <row r="634" spans="51:75">
      <c r="AY634" s="1184"/>
      <c r="AZ634" s="1183" t="s">
        <v>1109</v>
      </c>
      <c r="BA634" s="1172">
        <v>7</v>
      </c>
      <c r="BB634" s="1152">
        <v>0.81</v>
      </c>
      <c r="BC634" s="1097">
        <v>7</v>
      </c>
      <c r="BD634" s="1061">
        <v>4000</v>
      </c>
      <c r="BE634" s="1061">
        <v>5000</v>
      </c>
      <c r="BF634" s="1061">
        <v>6000</v>
      </c>
      <c r="BG634" s="1061">
        <v>8000</v>
      </c>
      <c r="BH634" s="1061">
        <v>10000</v>
      </c>
      <c r="BI634" s="1061">
        <v>12000</v>
      </c>
      <c r="BJ634" s="1060" t="s">
        <v>1320</v>
      </c>
      <c r="BL634" s="1060" t="s">
        <v>1387</v>
      </c>
      <c r="BN634" s="1182"/>
      <c r="BO634" s="1060" t="s">
        <v>1756</v>
      </c>
      <c r="BW634" s="1181"/>
    </row>
    <row r="635" spans="51:75">
      <c r="AY635" s="1184"/>
      <c r="AZ635" s="1183" t="s">
        <v>1114</v>
      </c>
      <c r="BA635" s="1172">
        <v>7</v>
      </c>
      <c r="BB635" s="1152">
        <v>0.81</v>
      </c>
      <c r="BC635" s="1097">
        <v>7</v>
      </c>
      <c r="BD635" s="1061">
        <v>4000</v>
      </c>
      <c r="BE635" s="1061">
        <v>5000</v>
      </c>
      <c r="BF635" s="1061">
        <v>6000</v>
      </c>
      <c r="BG635" s="1061">
        <v>8000</v>
      </c>
      <c r="BH635" s="1061">
        <v>10000</v>
      </c>
      <c r="BI635" s="1061">
        <v>12000</v>
      </c>
      <c r="BJ635" s="1060" t="s">
        <v>1320</v>
      </c>
      <c r="BL635" s="1060" t="s">
        <v>1387</v>
      </c>
      <c r="BN635" s="1182"/>
      <c r="BO635" s="1060" t="s">
        <v>1755</v>
      </c>
      <c r="BW635" s="1181"/>
    </row>
    <row r="636" spans="51:75">
      <c r="AY636" s="1184"/>
      <c r="AZ636" s="1183" t="s">
        <v>1115</v>
      </c>
      <c r="BA636" s="1172">
        <v>7</v>
      </c>
      <c r="BB636" s="1152">
        <v>0.81</v>
      </c>
      <c r="BC636" s="1097">
        <v>7</v>
      </c>
      <c r="BD636" s="1061">
        <v>4000</v>
      </c>
      <c r="BE636" s="1061">
        <v>5000</v>
      </c>
      <c r="BF636" s="1061">
        <v>6000</v>
      </c>
      <c r="BG636" s="1061">
        <v>8000</v>
      </c>
      <c r="BH636" s="1061">
        <v>10000</v>
      </c>
      <c r="BI636" s="1061">
        <v>12000</v>
      </c>
      <c r="BJ636" s="1060" t="s">
        <v>1320</v>
      </c>
      <c r="BL636" s="1060" t="s">
        <v>1387</v>
      </c>
      <c r="BN636" s="1182"/>
      <c r="BO636" s="1060" t="s">
        <v>1754</v>
      </c>
      <c r="BW636" s="1181"/>
    </row>
    <row r="637" spans="51:75">
      <c r="AY637" s="1184"/>
      <c r="AZ637" s="1183" t="s">
        <v>1110</v>
      </c>
      <c r="BA637" s="1172">
        <v>7</v>
      </c>
      <c r="BB637" s="1152">
        <v>0.81</v>
      </c>
      <c r="BC637" s="1097">
        <v>7</v>
      </c>
      <c r="BD637" s="1061">
        <v>4000</v>
      </c>
      <c r="BE637" s="1061">
        <v>5000</v>
      </c>
      <c r="BF637" s="1061">
        <v>6000</v>
      </c>
      <c r="BG637" s="1061">
        <v>8000</v>
      </c>
      <c r="BH637" s="1061">
        <v>10000</v>
      </c>
      <c r="BI637" s="1061">
        <v>12000</v>
      </c>
      <c r="BJ637" s="1060" t="s">
        <v>1320</v>
      </c>
      <c r="BL637" s="1060" t="s">
        <v>1387</v>
      </c>
      <c r="BN637" s="1182"/>
      <c r="BO637" s="1060" t="s">
        <v>1753</v>
      </c>
      <c r="BW637" s="1181"/>
    </row>
    <row r="638" spans="51:75">
      <c r="AY638" s="1184"/>
      <c r="AZ638" s="1183" t="s">
        <v>1111</v>
      </c>
      <c r="BA638" s="1172">
        <v>7</v>
      </c>
      <c r="BB638" s="1152">
        <v>0.81</v>
      </c>
      <c r="BC638" s="1097">
        <v>7</v>
      </c>
      <c r="BD638" s="1061">
        <v>4000</v>
      </c>
      <c r="BE638" s="1061">
        <v>5000</v>
      </c>
      <c r="BF638" s="1061">
        <v>6000</v>
      </c>
      <c r="BG638" s="1061">
        <v>8000</v>
      </c>
      <c r="BH638" s="1061">
        <v>10000</v>
      </c>
      <c r="BI638" s="1061">
        <v>12000</v>
      </c>
      <c r="BJ638" s="1060" t="s">
        <v>1320</v>
      </c>
      <c r="BL638" s="1060" t="s">
        <v>1387</v>
      </c>
      <c r="BN638" s="1182"/>
      <c r="BO638" s="1060" t="s">
        <v>1752</v>
      </c>
      <c r="BW638" s="1181"/>
    </row>
    <row r="639" spans="51:75">
      <c r="AY639" s="1184"/>
      <c r="AZ639" s="1183" t="s">
        <v>1136</v>
      </c>
      <c r="BA639" s="1172">
        <v>8</v>
      </c>
      <c r="BB639" s="1152">
        <v>2.52</v>
      </c>
      <c r="BC639" s="1097">
        <v>4.8</v>
      </c>
      <c r="BD639" s="1061">
        <v>3000</v>
      </c>
      <c r="BE639" s="1061">
        <v>4000</v>
      </c>
      <c r="BF639" s="1061">
        <v>5000</v>
      </c>
      <c r="BG639" s="1061">
        <v>8000</v>
      </c>
      <c r="BH639" s="1061">
        <v>11000</v>
      </c>
      <c r="BI639" s="1061">
        <v>14000</v>
      </c>
      <c r="BJ639" s="1060" t="s">
        <v>1348</v>
      </c>
      <c r="BL639" s="1060" t="s">
        <v>1750</v>
      </c>
      <c r="BN639" s="1182"/>
      <c r="BO639" s="1060" t="s">
        <v>1751</v>
      </c>
      <c r="BW639" s="1181"/>
    </row>
    <row r="640" spans="51:75">
      <c r="AY640" s="1184"/>
      <c r="AZ640" s="1183" t="s">
        <v>1137</v>
      </c>
      <c r="BA640" s="1172">
        <v>8</v>
      </c>
      <c r="BB640" s="1152">
        <v>2.59</v>
      </c>
      <c r="BC640" s="1097">
        <v>4.8</v>
      </c>
      <c r="BD640" s="1061">
        <v>3000</v>
      </c>
      <c r="BE640" s="1061">
        <v>4000</v>
      </c>
      <c r="BF640" s="1061">
        <v>5000</v>
      </c>
      <c r="BG640" s="1061">
        <v>8000</v>
      </c>
      <c r="BH640" s="1061">
        <v>11000</v>
      </c>
      <c r="BI640" s="1061">
        <v>14000</v>
      </c>
      <c r="BJ640" s="1060" t="s">
        <v>1348</v>
      </c>
      <c r="BL640" s="1060" t="s">
        <v>1750</v>
      </c>
      <c r="BN640" s="1182"/>
      <c r="BO640" s="1060" t="s">
        <v>1749</v>
      </c>
      <c r="BW640" s="1181"/>
    </row>
    <row r="641" spans="51:75">
      <c r="AY641" s="1184"/>
      <c r="AZ641" s="1183" t="s">
        <v>1112</v>
      </c>
      <c r="BA641" s="1172">
        <v>7</v>
      </c>
      <c r="BB641" s="1152">
        <v>0.68</v>
      </c>
      <c r="BC641" s="1097">
        <v>7</v>
      </c>
      <c r="BD641" s="1061">
        <v>4000</v>
      </c>
      <c r="BE641" s="1061">
        <v>5000</v>
      </c>
      <c r="BF641" s="1061">
        <v>6000</v>
      </c>
      <c r="BG641" s="1061">
        <v>8000</v>
      </c>
      <c r="BH641" s="1061">
        <v>10000</v>
      </c>
      <c r="BI641" s="1061">
        <v>12000</v>
      </c>
      <c r="BJ641" s="1060" t="s">
        <v>1320</v>
      </c>
      <c r="BL641" s="1060" t="s">
        <v>1387</v>
      </c>
      <c r="BN641" s="1182"/>
      <c r="BO641" s="1060" t="s">
        <v>1748</v>
      </c>
      <c r="BW641" s="1181"/>
    </row>
    <row r="642" spans="51:75">
      <c r="AY642" s="1184"/>
      <c r="AZ642" s="1183" t="s">
        <v>1113</v>
      </c>
      <c r="BA642" s="1172">
        <v>7</v>
      </c>
      <c r="BB642" s="1152">
        <v>0.68</v>
      </c>
      <c r="BC642" s="1097">
        <v>7</v>
      </c>
      <c r="BD642" s="1061">
        <v>4000</v>
      </c>
      <c r="BE642" s="1061">
        <v>5000</v>
      </c>
      <c r="BF642" s="1061">
        <v>6000</v>
      </c>
      <c r="BG642" s="1061">
        <v>8000</v>
      </c>
      <c r="BH642" s="1061">
        <v>10000</v>
      </c>
      <c r="BI642" s="1061">
        <v>12000</v>
      </c>
      <c r="BJ642" s="1060" t="s">
        <v>1320</v>
      </c>
      <c r="BL642" s="1060" t="s">
        <v>1387</v>
      </c>
      <c r="BN642" s="1182"/>
      <c r="BO642" s="1060" t="s">
        <v>1747</v>
      </c>
      <c r="BW642" s="1181"/>
    </row>
    <row r="643" spans="51:75">
      <c r="AY643" s="1184"/>
      <c r="AZ643" s="1183" t="s">
        <v>951</v>
      </c>
      <c r="BA643" s="1172">
        <v>3</v>
      </c>
      <c r="BB643" s="1152">
        <v>1.04</v>
      </c>
      <c r="BC643" s="1097">
        <v>5.9</v>
      </c>
      <c r="BD643" s="1061">
        <v>1000</v>
      </c>
      <c r="BE643" s="1061">
        <v>1500</v>
      </c>
      <c r="BF643" s="1061">
        <v>2000</v>
      </c>
      <c r="BG643" s="1061">
        <v>3000</v>
      </c>
      <c r="BH643" s="1061">
        <v>5000</v>
      </c>
      <c r="BI643" s="1061">
        <v>7000</v>
      </c>
      <c r="BJ643" s="1060" t="s">
        <v>1320</v>
      </c>
      <c r="BL643" s="1060" t="s">
        <v>1324</v>
      </c>
      <c r="BN643" s="1182"/>
      <c r="BO643" s="1060" t="s">
        <v>1746</v>
      </c>
      <c r="BW643" s="1181"/>
    </row>
    <row r="644" spans="51:75">
      <c r="AY644" s="1184"/>
      <c r="AZ644" s="1183" t="s">
        <v>952</v>
      </c>
      <c r="BA644" s="1172">
        <v>3</v>
      </c>
      <c r="BB644" s="1152">
        <v>1.04</v>
      </c>
      <c r="BC644" s="1097">
        <v>5.9</v>
      </c>
      <c r="BD644" s="1061">
        <v>1000</v>
      </c>
      <c r="BE644" s="1061">
        <v>1500</v>
      </c>
      <c r="BF644" s="1061">
        <v>2000</v>
      </c>
      <c r="BG644" s="1061">
        <v>3000</v>
      </c>
      <c r="BH644" s="1061">
        <v>5000</v>
      </c>
      <c r="BI644" s="1061">
        <v>7000</v>
      </c>
      <c r="BJ644" s="1060" t="s">
        <v>1320</v>
      </c>
      <c r="BL644" s="1060" t="s">
        <v>1324</v>
      </c>
      <c r="BN644" s="1182"/>
      <c r="BO644" s="1060" t="s">
        <v>1745</v>
      </c>
      <c r="BW644" s="1181"/>
    </row>
    <row r="645" spans="51:75">
      <c r="AY645" s="1184"/>
      <c r="AZ645" s="1183" t="s">
        <v>953</v>
      </c>
      <c r="BA645" s="1172">
        <v>3</v>
      </c>
      <c r="BB645" s="1152">
        <v>1.04</v>
      </c>
      <c r="BC645" s="1097">
        <v>5.9</v>
      </c>
      <c r="BD645" s="1061">
        <v>1000</v>
      </c>
      <c r="BE645" s="1061">
        <v>1500</v>
      </c>
      <c r="BF645" s="1061">
        <v>2000</v>
      </c>
      <c r="BG645" s="1061">
        <v>3000</v>
      </c>
      <c r="BH645" s="1061">
        <v>5000</v>
      </c>
      <c r="BI645" s="1061">
        <v>7000</v>
      </c>
      <c r="BJ645" s="1060" t="s">
        <v>1320</v>
      </c>
      <c r="BL645" s="1060" t="s">
        <v>1324</v>
      </c>
      <c r="BN645" s="1182"/>
      <c r="BO645" s="1060" t="s">
        <v>1744</v>
      </c>
      <c r="BW645" s="1181"/>
    </row>
    <row r="646" spans="51:75">
      <c r="AY646" s="1184"/>
      <c r="AZ646" s="1183" t="s">
        <v>1223</v>
      </c>
      <c r="BA646" s="1172">
        <v>11</v>
      </c>
      <c r="BB646" s="1152">
        <v>9.2100000000000009</v>
      </c>
      <c r="BC646" s="1097">
        <v>5.4</v>
      </c>
      <c r="BD646" s="1061">
        <v>9000</v>
      </c>
      <c r="BE646" s="1061">
        <v>11000</v>
      </c>
      <c r="BF646" s="1061">
        <v>13000</v>
      </c>
      <c r="BG646" s="1061">
        <v>18000</v>
      </c>
      <c r="BH646" s="1061">
        <v>22000</v>
      </c>
      <c r="BI646" s="1061">
        <v>26000</v>
      </c>
      <c r="BJ646" s="1060" t="s">
        <v>1348</v>
      </c>
      <c r="BL646" s="1060" t="s">
        <v>1390</v>
      </c>
      <c r="BN646" s="1182"/>
      <c r="BO646" s="1060" t="s">
        <v>1743</v>
      </c>
      <c r="BW646" s="1181"/>
    </row>
    <row r="647" spans="51:75">
      <c r="AY647" s="1184"/>
      <c r="AZ647" s="1183" t="s">
        <v>1064</v>
      </c>
      <c r="BA647" s="1172">
        <v>6</v>
      </c>
      <c r="BB647" s="1152">
        <v>2.1800000000000002</v>
      </c>
      <c r="BC647" s="1097">
        <v>5.5</v>
      </c>
      <c r="BD647" s="1061">
        <v>7000</v>
      </c>
      <c r="BE647" s="1061">
        <v>9000</v>
      </c>
      <c r="BF647" s="1061">
        <v>11000</v>
      </c>
      <c r="BG647" s="1061">
        <v>15000</v>
      </c>
      <c r="BH647" s="1061">
        <v>18500</v>
      </c>
      <c r="BI647" s="1061">
        <v>22000</v>
      </c>
      <c r="BJ647" s="1060" t="s">
        <v>1348</v>
      </c>
      <c r="BL647" s="1060" t="s">
        <v>1333</v>
      </c>
      <c r="BN647" s="1182"/>
      <c r="BO647" s="1060" t="s">
        <v>1742</v>
      </c>
      <c r="BW647" s="1181"/>
    </row>
    <row r="648" spans="51:75">
      <c r="AY648" s="1184"/>
      <c r="AZ648" s="1183" t="s">
        <v>1065</v>
      </c>
      <c r="BA648" s="1172">
        <v>6</v>
      </c>
      <c r="BB648" s="1152">
        <v>2.1800000000000002</v>
      </c>
      <c r="BC648" s="1097">
        <v>5.5</v>
      </c>
      <c r="BD648" s="1061">
        <v>7000</v>
      </c>
      <c r="BE648" s="1061">
        <v>9000</v>
      </c>
      <c r="BF648" s="1061">
        <v>11000</v>
      </c>
      <c r="BG648" s="1061">
        <v>15000</v>
      </c>
      <c r="BH648" s="1061">
        <v>18500</v>
      </c>
      <c r="BI648" s="1061">
        <v>22000</v>
      </c>
      <c r="BJ648" s="1060" t="s">
        <v>1348</v>
      </c>
      <c r="BL648" s="1060" t="s">
        <v>1333</v>
      </c>
      <c r="BN648" s="1182"/>
      <c r="BO648" s="1060" t="s">
        <v>1741</v>
      </c>
      <c r="BW648" s="1181"/>
    </row>
    <row r="649" spans="51:75">
      <c r="AY649" s="1184"/>
      <c r="AZ649" s="1183" t="s">
        <v>1066</v>
      </c>
      <c r="BA649" s="1172">
        <v>6</v>
      </c>
      <c r="BB649" s="1152">
        <v>1.61</v>
      </c>
      <c r="BC649" s="1097">
        <v>5.0999999999999996</v>
      </c>
      <c r="BD649" s="1061">
        <v>7000</v>
      </c>
      <c r="BE649" s="1061">
        <v>9000</v>
      </c>
      <c r="BF649" s="1061">
        <v>11000</v>
      </c>
      <c r="BG649" s="1061">
        <v>15000</v>
      </c>
      <c r="BH649" s="1061">
        <v>18500</v>
      </c>
      <c r="BI649" s="1061">
        <v>22000</v>
      </c>
      <c r="BJ649" s="1060" t="s">
        <v>1348</v>
      </c>
      <c r="BL649" s="1060" t="s">
        <v>1333</v>
      </c>
      <c r="BN649" s="1182"/>
      <c r="BO649" s="1060" t="s">
        <v>1740</v>
      </c>
      <c r="BW649" s="1181"/>
    </row>
    <row r="650" spans="51:75">
      <c r="AY650" s="1184"/>
      <c r="AZ650" s="1183" t="s">
        <v>1067</v>
      </c>
      <c r="BA650" s="1172">
        <v>6</v>
      </c>
      <c r="BB650" s="1152">
        <v>1.61</v>
      </c>
      <c r="BC650" s="1097">
        <v>5.0999999999999996</v>
      </c>
      <c r="BD650" s="1061">
        <v>7000</v>
      </c>
      <c r="BE650" s="1061">
        <v>9000</v>
      </c>
      <c r="BF650" s="1061">
        <v>11000</v>
      </c>
      <c r="BG650" s="1061">
        <v>15000</v>
      </c>
      <c r="BH650" s="1061">
        <v>18500</v>
      </c>
      <c r="BI650" s="1061">
        <v>22000</v>
      </c>
      <c r="BJ650" s="1060" t="s">
        <v>1348</v>
      </c>
      <c r="BL650" s="1060" t="s">
        <v>1333</v>
      </c>
      <c r="BN650" s="1182"/>
      <c r="BO650" s="1060" t="s">
        <v>1739</v>
      </c>
      <c r="BW650" s="1181"/>
    </row>
    <row r="651" spans="51:75">
      <c r="AY651" s="1184"/>
      <c r="AZ651" s="1183" t="s">
        <v>1068</v>
      </c>
      <c r="BA651" s="1172">
        <v>6</v>
      </c>
      <c r="BB651" s="1152">
        <v>1.61</v>
      </c>
      <c r="BC651" s="1097">
        <v>5.0999999999999996</v>
      </c>
      <c r="BD651" s="1061">
        <v>7000</v>
      </c>
      <c r="BE651" s="1061">
        <v>9000</v>
      </c>
      <c r="BF651" s="1061">
        <v>11000</v>
      </c>
      <c r="BG651" s="1061">
        <v>15000</v>
      </c>
      <c r="BH651" s="1061">
        <v>18500</v>
      </c>
      <c r="BI651" s="1061">
        <v>22000</v>
      </c>
      <c r="BJ651" s="1060" t="s">
        <v>1348</v>
      </c>
      <c r="BL651" s="1060" t="s">
        <v>1333</v>
      </c>
      <c r="BN651" s="1182"/>
      <c r="BO651" s="1060" t="s">
        <v>1738</v>
      </c>
      <c r="BW651" s="1181"/>
    </row>
    <row r="652" spans="51:75">
      <c r="AY652" s="1184"/>
      <c r="AZ652" s="1183" t="s">
        <v>1025</v>
      </c>
      <c r="BA652" s="1172">
        <v>5</v>
      </c>
      <c r="BB652" s="1152">
        <v>3.29</v>
      </c>
      <c r="BD652" s="1061">
        <v>3000</v>
      </c>
      <c r="BE652" s="1061">
        <v>5000</v>
      </c>
      <c r="BF652" s="1061">
        <v>7000</v>
      </c>
      <c r="BG652" s="1061">
        <v>7000</v>
      </c>
      <c r="BH652" s="1061">
        <v>9000</v>
      </c>
      <c r="BI652" s="1061">
        <v>11000</v>
      </c>
      <c r="BJ652" s="1060" t="s">
        <v>1320</v>
      </c>
      <c r="BL652" s="1060" t="s">
        <v>1324</v>
      </c>
      <c r="BN652" s="1182"/>
      <c r="BO652" s="1060" t="s">
        <v>1737</v>
      </c>
      <c r="BW652" s="1181"/>
    </row>
    <row r="653" spans="51:75">
      <c r="AY653" s="1184"/>
      <c r="AZ653" s="1183" t="s">
        <v>1189</v>
      </c>
      <c r="BA653" s="1172">
        <v>8</v>
      </c>
      <c r="BB653" s="1152">
        <v>2.87</v>
      </c>
      <c r="BC653" s="1097">
        <v>4.8</v>
      </c>
      <c r="BD653" s="1061">
        <v>3000</v>
      </c>
      <c r="BE653" s="1061">
        <v>4000</v>
      </c>
      <c r="BF653" s="1061">
        <v>5000</v>
      </c>
      <c r="BG653" s="1061">
        <v>8000</v>
      </c>
      <c r="BH653" s="1061">
        <v>11000</v>
      </c>
      <c r="BI653" s="1061">
        <v>14000</v>
      </c>
      <c r="BJ653" s="1060" t="s">
        <v>1320</v>
      </c>
      <c r="BL653" s="1060" t="s">
        <v>1730</v>
      </c>
      <c r="BN653" s="1182"/>
      <c r="BO653" s="1060" t="s">
        <v>1736</v>
      </c>
      <c r="BW653" s="1181"/>
    </row>
    <row r="654" spans="51:75">
      <c r="AY654" s="1184"/>
      <c r="AZ654" s="1183" t="s">
        <v>1138</v>
      </c>
      <c r="BA654" s="1172">
        <v>8</v>
      </c>
      <c r="BB654" s="1152">
        <v>2.87</v>
      </c>
      <c r="BC654" s="1097">
        <v>4.8</v>
      </c>
      <c r="BD654" s="1061">
        <v>3000</v>
      </c>
      <c r="BE654" s="1061">
        <v>4000</v>
      </c>
      <c r="BF654" s="1061">
        <v>5000</v>
      </c>
      <c r="BG654" s="1061">
        <v>8000</v>
      </c>
      <c r="BH654" s="1061">
        <v>11000</v>
      </c>
      <c r="BI654" s="1061">
        <v>14000</v>
      </c>
      <c r="BJ654" s="1060" t="s">
        <v>1320</v>
      </c>
      <c r="BL654" s="1060" t="s">
        <v>1730</v>
      </c>
      <c r="BN654" s="1182"/>
      <c r="BO654" s="1060" t="s">
        <v>1735</v>
      </c>
      <c r="BW654" s="1181"/>
    </row>
    <row r="655" spans="51:75">
      <c r="AY655" s="1184"/>
      <c r="AZ655" s="1183" t="s">
        <v>1139</v>
      </c>
      <c r="BA655" s="1172">
        <v>8</v>
      </c>
      <c r="BB655" s="1152">
        <v>2.87</v>
      </c>
      <c r="BC655" s="1097">
        <v>4.8</v>
      </c>
      <c r="BD655" s="1061">
        <v>3000</v>
      </c>
      <c r="BE655" s="1061">
        <v>4000</v>
      </c>
      <c r="BF655" s="1061">
        <v>5000</v>
      </c>
      <c r="BG655" s="1061">
        <v>8000</v>
      </c>
      <c r="BH655" s="1061">
        <v>11000</v>
      </c>
      <c r="BI655" s="1061">
        <v>14000</v>
      </c>
      <c r="BJ655" s="1060" t="s">
        <v>1320</v>
      </c>
      <c r="BL655" s="1060" t="s">
        <v>1730</v>
      </c>
      <c r="BN655" s="1182"/>
      <c r="BO655" s="1060" t="s">
        <v>1734</v>
      </c>
      <c r="BW655" s="1181"/>
    </row>
    <row r="656" spans="51:75">
      <c r="AY656" s="1184"/>
      <c r="AZ656" s="1183" t="s">
        <v>1236</v>
      </c>
      <c r="BA656" s="1172">
        <v>13</v>
      </c>
      <c r="BB656" s="1152">
        <v>16.989999999999998</v>
      </c>
      <c r="BC656" s="1097">
        <v>7.2</v>
      </c>
      <c r="BD656" s="1061">
        <v>3000</v>
      </c>
      <c r="BE656" s="1061">
        <v>4000</v>
      </c>
      <c r="BF656" s="1061">
        <v>10000</v>
      </c>
      <c r="BG656" s="1061">
        <v>6000</v>
      </c>
      <c r="BH656" s="1061">
        <v>8000</v>
      </c>
      <c r="BI656" s="1061">
        <v>10000</v>
      </c>
      <c r="BJ656" s="1060" t="s">
        <v>1382</v>
      </c>
      <c r="BL656" s="1060" t="s">
        <v>1324</v>
      </c>
      <c r="BN656" s="1182"/>
      <c r="BO656" s="1060" t="s">
        <v>1733</v>
      </c>
      <c r="BW656" s="1181"/>
    </row>
    <row r="657" spans="51:75">
      <c r="AY657" s="1184"/>
      <c r="AZ657" s="1183" t="s">
        <v>1237</v>
      </c>
      <c r="BA657" s="1172">
        <v>13</v>
      </c>
      <c r="BB657" s="1152">
        <v>16.989999999999998</v>
      </c>
      <c r="BC657" s="1097">
        <v>7.2</v>
      </c>
      <c r="BD657" s="1061">
        <v>3000</v>
      </c>
      <c r="BE657" s="1061">
        <v>4000</v>
      </c>
      <c r="BF657" s="1061">
        <v>10000</v>
      </c>
      <c r="BG657" s="1061">
        <v>6000</v>
      </c>
      <c r="BH657" s="1061">
        <v>8000</v>
      </c>
      <c r="BI657" s="1061">
        <v>10000</v>
      </c>
      <c r="BJ657" s="1060" t="s">
        <v>1382</v>
      </c>
      <c r="BL657" s="1060" t="s">
        <v>1324</v>
      </c>
      <c r="BN657" s="1182"/>
      <c r="BO657" s="1060" t="s">
        <v>1732</v>
      </c>
      <c r="BW657" s="1181"/>
    </row>
    <row r="658" spans="51:75">
      <c r="AY658" s="1184"/>
      <c r="AZ658" s="1183" t="s">
        <v>1116</v>
      </c>
      <c r="BA658" s="1172">
        <v>7</v>
      </c>
      <c r="BB658" s="1152">
        <v>2.2999999999999998</v>
      </c>
      <c r="BC658" s="1097">
        <v>6.7</v>
      </c>
      <c r="BD658" s="1061">
        <v>4000</v>
      </c>
      <c r="BE658" s="1061">
        <v>5000</v>
      </c>
      <c r="BF658" s="1061">
        <v>6000</v>
      </c>
      <c r="BG658" s="1061">
        <v>8000</v>
      </c>
      <c r="BH658" s="1061">
        <v>10000</v>
      </c>
      <c r="BI658" s="1061">
        <v>12000</v>
      </c>
      <c r="BJ658" s="1060" t="s">
        <v>1320</v>
      </c>
      <c r="BL658" s="1060" t="s">
        <v>1605</v>
      </c>
      <c r="BN658" s="1182"/>
      <c r="BO658" s="1060" t="s">
        <v>1731</v>
      </c>
      <c r="BW658" s="1181"/>
    </row>
    <row r="659" spans="51:75">
      <c r="AY659" s="1184"/>
      <c r="AZ659" s="1183" t="s">
        <v>1140</v>
      </c>
      <c r="BA659" s="1172">
        <v>8</v>
      </c>
      <c r="BB659" s="1152">
        <v>3.35</v>
      </c>
      <c r="BC659" s="1097">
        <v>4.7</v>
      </c>
      <c r="BD659" s="1061">
        <v>3000</v>
      </c>
      <c r="BE659" s="1061">
        <v>4000</v>
      </c>
      <c r="BF659" s="1061">
        <v>5000</v>
      </c>
      <c r="BG659" s="1061">
        <v>8000</v>
      </c>
      <c r="BH659" s="1061">
        <v>11000</v>
      </c>
      <c r="BI659" s="1061">
        <v>14000</v>
      </c>
      <c r="BJ659" s="1060" t="s">
        <v>1320</v>
      </c>
      <c r="BL659" s="1060" t="s">
        <v>1730</v>
      </c>
      <c r="BN659" s="1182"/>
      <c r="BO659" s="1060" t="s">
        <v>1729</v>
      </c>
      <c r="BW659" s="1181"/>
    </row>
    <row r="660" spans="51:75">
      <c r="AY660" s="1184"/>
      <c r="AZ660" s="1183" t="s">
        <v>1117</v>
      </c>
      <c r="BA660" s="1172">
        <v>7</v>
      </c>
      <c r="BB660" s="1152">
        <v>0.76</v>
      </c>
      <c r="BC660" s="1097">
        <v>7.3</v>
      </c>
      <c r="BD660" s="1061">
        <v>4000</v>
      </c>
      <c r="BE660" s="1061">
        <v>5000</v>
      </c>
      <c r="BF660" s="1061">
        <v>6000</v>
      </c>
      <c r="BG660" s="1061">
        <v>8000</v>
      </c>
      <c r="BH660" s="1061">
        <v>10000</v>
      </c>
      <c r="BI660" s="1061">
        <v>12000</v>
      </c>
      <c r="BJ660" s="1060" t="s">
        <v>1320</v>
      </c>
      <c r="BL660" s="1060" t="s">
        <v>1387</v>
      </c>
      <c r="BN660" s="1182"/>
      <c r="BO660" s="1060" t="s">
        <v>1728</v>
      </c>
      <c r="BW660" s="1181"/>
    </row>
    <row r="661" spans="51:75">
      <c r="AY661" s="1184"/>
      <c r="AZ661" s="1183" t="s">
        <v>1118</v>
      </c>
      <c r="BA661" s="1172">
        <v>7</v>
      </c>
      <c r="BB661" s="1152">
        <v>0.76</v>
      </c>
      <c r="BC661" s="1097">
        <v>7.3</v>
      </c>
      <c r="BD661" s="1061">
        <v>4000</v>
      </c>
      <c r="BE661" s="1061">
        <v>5000</v>
      </c>
      <c r="BF661" s="1061">
        <v>6000</v>
      </c>
      <c r="BG661" s="1061">
        <v>8000</v>
      </c>
      <c r="BH661" s="1061">
        <v>10000</v>
      </c>
      <c r="BI661" s="1061">
        <v>12000</v>
      </c>
      <c r="BJ661" s="1060" t="s">
        <v>1320</v>
      </c>
      <c r="BL661" s="1060" t="s">
        <v>1387</v>
      </c>
      <c r="BN661" s="1182"/>
      <c r="BO661" s="1060" t="s">
        <v>1727</v>
      </c>
      <c r="BW661" s="1181"/>
    </row>
    <row r="662" spans="51:75">
      <c r="AY662" s="1184"/>
      <c r="AZ662" s="1183" t="s">
        <v>1119</v>
      </c>
      <c r="BA662" s="1172">
        <v>7</v>
      </c>
      <c r="BB662" s="1152">
        <v>0.83</v>
      </c>
      <c r="BC662" s="1097">
        <v>6.7</v>
      </c>
      <c r="BD662" s="1061">
        <v>4000</v>
      </c>
      <c r="BE662" s="1061">
        <v>5000</v>
      </c>
      <c r="BF662" s="1061">
        <v>6000</v>
      </c>
      <c r="BG662" s="1061">
        <v>8000</v>
      </c>
      <c r="BH662" s="1061">
        <v>10000</v>
      </c>
      <c r="BI662" s="1061">
        <v>12000</v>
      </c>
      <c r="BJ662" s="1060" t="s">
        <v>1320</v>
      </c>
      <c r="BL662" s="1060" t="s">
        <v>1387</v>
      </c>
      <c r="BN662" s="1182"/>
      <c r="BO662" s="1060" t="s">
        <v>1726</v>
      </c>
      <c r="BW662" s="1181"/>
    </row>
    <row r="663" spans="51:75">
      <c r="AY663" s="1184"/>
      <c r="AZ663" s="1183" t="s">
        <v>1026</v>
      </c>
      <c r="BA663" s="1172">
        <v>5</v>
      </c>
      <c r="BB663" s="1152">
        <v>1.49</v>
      </c>
      <c r="BC663" s="1097">
        <v>6.6</v>
      </c>
      <c r="BD663" s="1061">
        <v>3000</v>
      </c>
      <c r="BE663" s="1061">
        <v>5000</v>
      </c>
      <c r="BF663" s="1061">
        <v>7000</v>
      </c>
      <c r="BG663" s="1061">
        <v>7000</v>
      </c>
      <c r="BH663" s="1061">
        <v>9000</v>
      </c>
      <c r="BI663" s="1061">
        <v>11000</v>
      </c>
      <c r="BJ663" s="1060" t="s">
        <v>1320</v>
      </c>
      <c r="BL663" s="1060" t="s">
        <v>1333</v>
      </c>
      <c r="BN663" s="1182"/>
      <c r="BO663" s="1060" t="s">
        <v>1725</v>
      </c>
      <c r="BW663" s="1181"/>
    </row>
    <row r="664" spans="51:75">
      <c r="AY664" s="1184"/>
      <c r="AZ664" s="1183" t="s">
        <v>1141</v>
      </c>
      <c r="BA664" s="1172">
        <v>8</v>
      </c>
      <c r="BB664" s="1152">
        <v>2.57</v>
      </c>
      <c r="BC664" s="1097">
        <v>5.4</v>
      </c>
      <c r="BD664" s="1061">
        <v>3000</v>
      </c>
      <c r="BE664" s="1061">
        <v>4000</v>
      </c>
      <c r="BF664" s="1061">
        <v>5000</v>
      </c>
      <c r="BG664" s="1061">
        <v>8000</v>
      </c>
      <c r="BH664" s="1061">
        <v>11000</v>
      </c>
      <c r="BI664" s="1061">
        <v>14000</v>
      </c>
      <c r="BJ664" s="1060" t="s">
        <v>1320</v>
      </c>
      <c r="BL664" s="1060" t="s">
        <v>1390</v>
      </c>
      <c r="BN664" s="1182"/>
      <c r="BO664" s="1060" t="s">
        <v>1724</v>
      </c>
      <c r="BW664" s="1181"/>
    </row>
    <row r="665" spans="51:75">
      <c r="AY665" s="1184"/>
      <c r="AZ665" s="1183" t="s">
        <v>1142</v>
      </c>
      <c r="BA665" s="1172">
        <v>8</v>
      </c>
      <c r="BB665" s="1152">
        <v>2.57</v>
      </c>
      <c r="BC665" s="1097">
        <v>5.4</v>
      </c>
      <c r="BD665" s="1061">
        <v>3000</v>
      </c>
      <c r="BE665" s="1061">
        <v>4000</v>
      </c>
      <c r="BF665" s="1061">
        <v>5000</v>
      </c>
      <c r="BG665" s="1061">
        <v>8000</v>
      </c>
      <c r="BH665" s="1061">
        <v>11000</v>
      </c>
      <c r="BI665" s="1061">
        <v>14000</v>
      </c>
      <c r="BJ665" s="1060" t="s">
        <v>1320</v>
      </c>
      <c r="BL665" s="1060" t="s">
        <v>1390</v>
      </c>
      <c r="BN665" s="1182"/>
      <c r="BO665" s="1060" t="s">
        <v>1723</v>
      </c>
      <c r="BW665" s="1181"/>
    </row>
    <row r="666" spans="51:75">
      <c r="AY666" s="1184"/>
      <c r="AZ666" s="1183" t="s">
        <v>954</v>
      </c>
      <c r="BA666" s="1172">
        <v>3</v>
      </c>
      <c r="BB666" s="1152">
        <v>2.59</v>
      </c>
      <c r="BC666" s="1097">
        <v>6.8</v>
      </c>
      <c r="BD666" s="1061">
        <v>1000</v>
      </c>
      <c r="BE666" s="1061">
        <v>1500</v>
      </c>
      <c r="BF666" s="1061">
        <v>2000</v>
      </c>
      <c r="BG666" s="1061">
        <v>3000</v>
      </c>
      <c r="BH666" s="1061">
        <v>5000</v>
      </c>
      <c r="BI666" s="1061">
        <v>7000</v>
      </c>
      <c r="BJ666" s="1060" t="s">
        <v>1348</v>
      </c>
      <c r="BL666" s="1060" t="s">
        <v>1721</v>
      </c>
      <c r="BN666" s="1182"/>
      <c r="BO666" s="1060" t="s">
        <v>1722</v>
      </c>
      <c r="BW666" s="1181"/>
    </row>
    <row r="667" spans="51:75">
      <c r="AY667" s="1184"/>
      <c r="AZ667" s="1183" t="s">
        <v>955</v>
      </c>
      <c r="BA667" s="1172">
        <v>3</v>
      </c>
      <c r="BB667" s="1152">
        <v>2.59</v>
      </c>
      <c r="BC667" s="1097">
        <v>6.8</v>
      </c>
      <c r="BD667" s="1061">
        <v>1000</v>
      </c>
      <c r="BE667" s="1061">
        <v>1500</v>
      </c>
      <c r="BF667" s="1061">
        <v>2000</v>
      </c>
      <c r="BG667" s="1061">
        <v>3000</v>
      </c>
      <c r="BH667" s="1061">
        <v>5000</v>
      </c>
      <c r="BI667" s="1061">
        <v>7000</v>
      </c>
      <c r="BJ667" s="1060" t="s">
        <v>1348</v>
      </c>
      <c r="BL667" s="1060" t="s">
        <v>1721</v>
      </c>
      <c r="BN667" s="1182"/>
      <c r="BO667" s="1060" t="s">
        <v>1720</v>
      </c>
      <c r="BW667" s="1181"/>
    </row>
    <row r="668" spans="51:75">
      <c r="AY668" s="1184"/>
      <c r="AZ668" s="1183" t="s">
        <v>956</v>
      </c>
      <c r="BA668" s="1172">
        <v>3</v>
      </c>
      <c r="BB668" s="1152">
        <v>1.25</v>
      </c>
      <c r="BC668" s="1097">
        <v>6.7</v>
      </c>
      <c r="BD668" s="1061">
        <v>1000</v>
      </c>
      <c r="BE668" s="1061">
        <v>1500</v>
      </c>
      <c r="BF668" s="1061">
        <v>2000</v>
      </c>
      <c r="BG668" s="1061">
        <v>3000</v>
      </c>
      <c r="BH668" s="1061">
        <v>5000</v>
      </c>
      <c r="BI668" s="1061">
        <v>7000</v>
      </c>
      <c r="BJ668" s="1060" t="s">
        <v>1348</v>
      </c>
      <c r="BL668" s="1060" t="s">
        <v>1333</v>
      </c>
      <c r="BN668" s="1182"/>
      <c r="BO668" s="1060" t="s">
        <v>1719</v>
      </c>
      <c r="BW668" s="1181"/>
    </row>
    <row r="669" spans="51:75">
      <c r="AY669" s="1184"/>
      <c r="AZ669" s="1183" t="s">
        <v>957</v>
      </c>
      <c r="BA669" s="1172">
        <v>3</v>
      </c>
      <c r="BB669" s="1152">
        <v>1.07</v>
      </c>
      <c r="BC669" s="1097">
        <v>6.7</v>
      </c>
      <c r="BD669" s="1061">
        <v>1000</v>
      </c>
      <c r="BE669" s="1061">
        <v>1500</v>
      </c>
      <c r="BF669" s="1061">
        <v>2000</v>
      </c>
      <c r="BG669" s="1061">
        <v>3000</v>
      </c>
      <c r="BH669" s="1061">
        <v>5000</v>
      </c>
      <c r="BI669" s="1061">
        <v>7000</v>
      </c>
      <c r="BJ669" s="1060" t="s">
        <v>1348</v>
      </c>
      <c r="BL669" s="1060" t="s">
        <v>1333</v>
      </c>
      <c r="BN669" s="1182"/>
      <c r="BO669" s="1060" t="s">
        <v>1718</v>
      </c>
      <c r="BW669" s="1181"/>
    </row>
    <row r="670" spans="51:75">
      <c r="AY670" s="1184"/>
      <c r="AZ670" s="1183" t="s">
        <v>958</v>
      </c>
      <c r="BA670" s="1172">
        <v>3</v>
      </c>
      <c r="BB670" s="1152">
        <v>1.25</v>
      </c>
      <c r="BC670" s="1097">
        <v>6.7</v>
      </c>
      <c r="BD670" s="1061">
        <v>1000</v>
      </c>
      <c r="BE670" s="1061">
        <v>1500</v>
      </c>
      <c r="BF670" s="1061">
        <v>2000</v>
      </c>
      <c r="BG670" s="1061">
        <v>3000</v>
      </c>
      <c r="BH670" s="1061">
        <v>5000</v>
      </c>
      <c r="BI670" s="1061">
        <v>7000</v>
      </c>
      <c r="BJ670" s="1060" t="s">
        <v>1348</v>
      </c>
      <c r="BL670" s="1060" t="s">
        <v>1333</v>
      </c>
      <c r="BN670" s="1182"/>
      <c r="BO670" s="1060" t="s">
        <v>1717</v>
      </c>
      <c r="BW670" s="1181"/>
    </row>
    <row r="671" spans="51:75">
      <c r="AY671" s="1184"/>
      <c r="AZ671" s="1183" t="s">
        <v>959</v>
      </c>
      <c r="BA671" s="1172">
        <v>3</v>
      </c>
      <c r="BB671" s="1152">
        <v>1.07</v>
      </c>
      <c r="BC671" s="1097">
        <v>6.7</v>
      </c>
      <c r="BD671" s="1061">
        <v>1000</v>
      </c>
      <c r="BE671" s="1061">
        <v>1500</v>
      </c>
      <c r="BF671" s="1061">
        <v>2000</v>
      </c>
      <c r="BG671" s="1061">
        <v>3000</v>
      </c>
      <c r="BH671" s="1061">
        <v>5000</v>
      </c>
      <c r="BI671" s="1061">
        <v>7000</v>
      </c>
      <c r="BJ671" s="1060" t="s">
        <v>1348</v>
      </c>
      <c r="BL671" s="1060" t="s">
        <v>1333</v>
      </c>
      <c r="BN671" s="1182"/>
      <c r="BO671" s="1060" t="s">
        <v>1716</v>
      </c>
      <c r="BW671" s="1181"/>
    </row>
    <row r="672" spans="51:75">
      <c r="AY672" s="1184"/>
      <c r="AZ672" s="1183" t="s">
        <v>1143</v>
      </c>
      <c r="BA672" s="1172">
        <v>8</v>
      </c>
      <c r="BB672" s="1152">
        <v>2.57</v>
      </c>
      <c r="BC672" s="1097">
        <v>5.4</v>
      </c>
      <c r="BD672" s="1061">
        <v>3000</v>
      </c>
      <c r="BE672" s="1061">
        <v>4000</v>
      </c>
      <c r="BF672" s="1061">
        <v>5000</v>
      </c>
      <c r="BG672" s="1061">
        <v>8000</v>
      </c>
      <c r="BH672" s="1061">
        <v>11000</v>
      </c>
      <c r="BI672" s="1061">
        <v>14000</v>
      </c>
      <c r="BJ672" s="1060" t="s">
        <v>1320</v>
      </c>
      <c r="BL672" s="1060" t="s">
        <v>1390</v>
      </c>
      <c r="BN672" s="1182"/>
      <c r="BO672" s="1060" t="s">
        <v>1715</v>
      </c>
      <c r="BW672" s="1181"/>
    </row>
    <row r="673" spans="51:75">
      <c r="AY673" s="1184"/>
      <c r="AZ673" s="1183" t="s">
        <v>1144</v>
      </c>
      <c r="BA673" s="1172">
        <v>8</v>
      </c>
      <c r="BB673" s="1152">
        <v>2.57</v>
      </c>
      <c r="BC673" s="1097">
        <v>5.4</v>
      </c>
      <c r="BD673" s="1061">
        <v>3000</v>
      </c>
      <c r="BE673" s="1061">
        <v>4000</v>
      </c>
      <c r="BF673" s="1061">
        <v>5000</v>
      </c>
      <c r="BG673" s="1061">
        <v>8000</v>
      </c>
      <c r="BH673" s="1061">
        <v>11000</v>
      </c>
      <c r="BI673" s="1061">
        <v>14000</v>
      </c>
      <c r="BJ673" s="1060" t="s">
        <v>1320</v>
      </c>
      <c r="BL673" s="1060" t="s">
        <v>1390</v>
      </c>
      <c r="BN673" s="1182"/>
      <c r="BO673" s="1060" t="s">
        <v>1714</v>
      </c>
      <c r="BW673" s="1181"/>
    </row>
    <row r="674" spans="51:75">
      <c r="AY674" s="1184"/>
      <c r="AZ674" s="1183" t="s">
        <v>1145</v>
      </c>
      <c r="BA674" s="1172">
        <v>8</v>
      </c>
      <c r="BB674" s="1152">
        <v>2.2400000000000002</v>
      </c>
      <c r="BC674" s="1097">
        <v>5.4</v>
      </c>
      <c r="BD674" s="1061">
        <v>3000</v>
      </c>
      <c r="BE674" s="1061">
        <v>4000</v>
      </c>
      <c r="BF674" s="1061">
        <v>5000</v>
      </c>
      <c r="BG674" s="1061">
        <v>8000</v>
      </c>
      <c r="BH674" s="1061">
        <v>11000</v>
      </c>
      <c r="BI674" s="1061">
        <v>14000</v>
      </c>
      <c r="BJ674" s="1060" t="s">
        <v>1320</v>
      </c>
      <c r="BL674" s="1060" t="s">
        <v>1390</v>
      </c>
      <c r="BN674" s="1182"/>
      <c r="BO674" s="1060" t="s">
        <v>1713</v>
      </c>
      <c r="BW674" s="1181"/>
    </row>
    <row r="675" spans="51:75">
      <c r="AY675" s="1184"/>
      <c r="AZ675" s="1183" t="s">
        <v>1146</v>
      </c>
      <c r="BA675" s="1172">
        <v>8</v>
      </c>
      <c r="BB675" s="1152">
        <v>2.2400000000000002</v>
      </c>
      <c r="BC675" s="1097">
        <v>5.4</v>
      </c>
      <c r="BD675" s="1061">
        <v>3000</v>
      </c>
      <c r="BE675" s="1061">
        <v>4000</v>
      </c>
      <c r="BF675" s="1061">
        <v>5000</v>
      </c>
      <c r="BG675" s="1061">
        <v>8000</v>
      </c>
      <c r="BH675" s="1061">
        <v>11000</v>
      </c>
      <c r="BI675" s="1061">
        <v>14000</v>
      </c>
      <c r="BJ675" s="1060" t="s">
        <v>1320</v>
      </c>
      <c r="BL675" s="1060" t="s">
        <v>1390</v>
      </c>
      <c r="BN675" s="1182"/>
      <c r="BO675" s="1060" t="s">
        <v>1712</v>
      </c>
      <c r="BW675" s="1181"/>
    </row>
    <row r="676" spans="51:75">
      <c r="AY676" s="1184"/>
      <c r="AZ676" s="1183" t="s">
        <v>1207</v>
      </c>
      <c r="BA676" s="1172">
        <v>10</v>
      </c>
      <c r="BB676" s="1152">
        <v>3.58</v>
      </c>
      <c r="BC676" s="1097">
        <v>5.6</v>
      </c>
      <c r="BD676" s="1061">
        <v>7000</v>
      </c>
      <c r="BE676" s="1061">
        <v>9000</v>
      </c>
      <c r="BF676" s="1061">
        <v>11000</v>
      </c>
      <c r="BG676" s="1061">
        <v>14000</v>
      </c>
      <c r="BH676" s="1061">
        <v>18000</v>
      </c>
      <c r="BI676" s="1061">
        <v>20000</v>
      </c>
      <c r="BJ676" s="1060" t="s">
        <v>1320</v>
      </c>
      <c r="BL676" s="1060" t="s">
        <v>1390</v>
      </c>
      <c r="BN676" s="1182"/>
      <c r="BO676" s="1060" t="s">
        <v>1711</v>
      </c>
      <c r="BW676" s="1181"/>
    </row>
    <row r="677" spans="51:75">
      <c r="AY677" s="1184"/>
      <c r="AZ677" s="1183" t="s">
        <v>1203</v>
      </c>
      <c r="BA677" s="1172">
        <v>10</v>
      </c>
      <c r="BB677" s="1152">
        <v>3.58</v>
      </c>
      <c r="BC677" s="1097">
        <v>5.6</v>
      </c>
      <c r="BD677" s="1061">
        <v>7000</v>
      </c>
      <c r="BE677" s="1061">
        <v>9000</v>
      </c>
      <c r="BF677" s="1061">
        <v>11000</v>
      </c>
      <c r="BG677" s="1061">
        <v>14000</v>
      </c>
      <c r="BH677" s="1061">
        <v>18000</v>
      </c>
      <c r="BI677" s="1061">
        <v>20000</v>
      </c>
      <c r="BJ677" s="1060" t="s">
        <v>1320</v>
      </c>
      <c r="BL677" s="1060" t="s">
        <v>1390</v>
      </c>
      <c r="BN677" s="1182"/>
      <c r="BO677" s="1060" t="s">
        <v>1710</v>
      </c>
      <c r="BW677" s="1181"/>
    </row>
    <row r="678" spans="51:75">
      <c r="AY678" s="1184"/>
      <c r="AZ678" s="1183" t="s">
        <v>1204</v>
      </c>
      <c r="BA678" s="1172">
        <v>10</v>
      </c>
      <c r="BB678" s="1152">
        <v>3.58</v>
      </c>
      <c r="BC678" s="1097">
        <v>5.6</v>
      </c>
      <c r="BD678" s="1061">
        <v>7000</v>
      </c>
      <c r="BE678" s="1061">
        <v>9000</v>
      </c>
      <c r="BF678" s="1061">
        <v>11000</v>
      </c>
      <c r="BG678" s="1061">
        <v>14000</v>
      </c>
      <c r="BH678" s="1061">
        <v>18000</v>
      </c>
      <c r="BI678" s="1061">
        <v>20000</v>
      </c>
      <c r="BJ678" s="1060" t="s">
        <v>1320</v>
      </c>
      <c r="BL678" s="1060" t="s">
        <v>1390</v>
      </c>
      <c r="BN678" s="1182"/>
      <c r="BO678" s="1060" t="s">
        <v>1709</v>
      </c>
      <c r="BW678" s="1181"/>
    </row>
    <row r="679" spans="51:75">
      <c r="AY679" s="1184"/>
      <c r="AZ679" s="1183" t="s">
        <v>1205</v>
      </c>
      <c r="BA679" s="1172">
        <v>10</v>
      </c>
      <c r="BB679" s="1152">
        <v>3.58</v>
      </c>
      <c r="BC679" s="1097">
        <v>5.6</v>
      </c>
      <c r="BD679" s="1061">
        <v>7000</v>
      </c>
      <c r="BE679" s="1061">
        <v>9000</v>
      </c>
      <c r="BF679" s="1061">
        <v>11000</v>
      </c>
      <c r="BG679" s="1061">
        <v>14000</v>
      </c>
      <c r="BH679" s="1061">
        <v>18000</v>
      </c>
      <c r="BI679" s="1061">
        <v>20000</v>
      </c>
      <c r="BJ679" s="1060" t="s">
        <v>1320</v>
      </c>
      <c r="BL679" s="1060" t="s">
        <v>1390</v>
      </c>
      <c r="BN679" s="1182"/>
      <c r="BO679" s="1060" t="s">
        <v>1708</v>
      </c>
      <c r="BW679" s="1181"/>
    </row>
    <row r="680" spans="51:75">
      <c r="AY680" s="1184"/>
      <c r="AZ680" s="1183" t="s">
        <v>1206</v>
      </c>
      <c r="BA680" s="1172">
        <v>10</v>
      </c>
      <c r="BB680" s="1152">
        <v>3.58</v>
      </c>
      <c r="BC680" s="1097">
        <v>5.6</v>
      </c>
      <c r="BD680" s="1061">
        <v>7000</v>
      </c>
      <c r="BE680" s="1061">
        <v>9000</v>
      </c>
      <c r="BF680" s="1061">
        <v>11000</v>
      </c>
      <c r="BG680" s="1061">
        <v>14000</v>
      </c>
      <c r="BH680" s="1061">
        <v>18000</v>
      </c>
      <c r="BI680" s="1061">
        <v>20000</v>
      </c>
      <c r="BJ680" s="1060" t="s">
        <v>1320</v>
      </c>
      <c r="BL680" s="1060" t="s">
        <v>1390</v>
      </c>
      <c r="BN680" s="1182"/>
      <c r="BO680" s="1060" t="s">
        <v>1707</v>
      </c>
      <c r="BW680" s="1181"/>
    </row>
    <row r="681" spans="51:75">
      <c r="AY681" s="1184"/>
      <c r="AZ681" s="1183" t="s">
        <v>776</v>
      </c>
      <c r="BA681" s="1172">
        <v>1</v>
      </c>
      <c r="BB681" s="1152">
        <v>0.6</v>
      </c>
      <c r="BC681" s="1097">
        <v>7.7</v>
      </c>
      <c r="BD681" s="1061">
        <v>400</v>
      </c>
      <c r="BE681" s="1061">
        <v>800</v>
      </c>
      <c r="BF681" s="1061">
        <v>1200</v>
      </c>
      <c r="BG681" s="1061">
        <v>1500</v>
      </c>
      <c r="BH681" s="1061">
        <v>2000</v>
      </c>
      <c r="BI681" s="1061">
        <v>2500</v>
      </c>
      <c r="BJ681" s="1060" t="s">
        <v>1320</v>
      </c>
      <c r="BL681" s="1060" t="s">
        <v>1329</v>
      </c>
      <c r="BN681" s="1182"/>
      <c r="BO681" s="1060" t="s">
        <v>1706</v>
      </c>
      <c r="BW681" s="1181"/>
    </row>
    <row r="682" spans="51:75">
      <c r="AY682" s="1184"/>
      <c r="AZ682" s="1183" t="s">
        <v>962</v>
      </c>
      <c r="BA682" s="1172">
        <v>3</v>
      </c>
      <c r="BB682" s="1152">
        <v>1.19</v>
      </c>
      <c r="BC682" s="1097">
        <v>6.8</v>
      </c>
      <c r="BD682" s="1061">
        <v>1000</v>
      </c>
      <c r="BE682" s="1061">
        <v>1500</v>
      </c>
      <c r="BF682" s="1061">
        <v>2000</v>
      </c>
      <c r="BG682" s="1061">
        <v>3000</v>
      </c>
      <c r="BH682" s="1061">
        <v>5000</v>
      </c>
      <c r="BI682" s="1061">
        <v>7000</v>
      </c>
      <c r="BJ682" s="1060" t="s">
        <v>1320</v>
      </c>
      <c r="BL682" s="1060" t="s">
        <v>1333</v>
      </c>
      <c r="BN682" s="1182"/>
      <c r="BO682" s="1060" t="s">
        <v>1705</v>
      </c>
      <c r="BW682" s="1181"/>
    </row>
    <row r="683" spans="51:75">
      <c r="AY683" s="1184"/>
      <c r="AZ683" s="1183" t="s">
        <v>1704</v>
      </c>
      <c r="BA683" s="1172">
        <v>3</v>
      </c>
      <c r="BB683" s="1152">
        <v>1.19</v>
      </c>
      <c r="BC683" s="1097">
        <v>7</v>
      </c>
      <c r="BD683" s="1061">
        <v>1000</v>
      </c>
      <c r="BE683" s="1061">
        <v>1500</v>
      </c>
      <c r="BF683" s="1061">
        <v>2000</v>
      </c>
      <c r="BG683" s="1061">
        <v>3000</v>
      </c>
      <c r="BH683" s="1061">
        <v>5000</v>
      </c>
      <c r="BI683" s="1061">
        <v>7000</v>
      </c>
      <c r="BJ683" s="1060" t="s">
        <v>1320</v>
      </c>
      <c r="BL683" s="1060" t="s">
        <v>1333</v>
      </c>
      <c r="BN683" s="1182"/>
      <c r="BO683" s="1060" t="s">
        <v>1703</v>
      </c>
      <c r="BW683" s="1181"/>
    </row>
    <row r="684" spans="51:75">
      <c r="AY684" s="1184"/>
      <c r="AZ684" s="1183" t="s">
        <v>1702</v>
      </c>
      <c r="BA684" s="1172">
        <v>3</v>
      </c>
      <c r="BB684" s="1152">
        <v>1.19</v>
      </c>
      <c r="BC684" s="1097">
        <v>6.8</v>
      </c>
      <c r="BD684" s="1061">
        <v>1000</v>
      </c>
      <c r="BE684" s="1061">
        <v>1500</v>
      </c>
      <c r="BF684" s="1061">
        <v>2000</v>
      </c>
      <c r="BG684" s="1061">
        <v>3000</v>
      </c>
      <c r="BH684" s="1061">
        <v>5000</v>
      </c>
      <c r="BI684" s="1061">
        <v>7000</v>
      </c>
      <c r="BJ684" s="1060" t="s">
        <v>1320</v>
      </c>
      <c r="BL684" s="1060" t="s">
        <v>1333</v>
      </c>
      <c r="BN684" s="1182"/>
      <c r="BO684" s="1060" t="s">
        <v>1701</v>
      </c>
      <c r="BW684" s="1181"/>
    </row>
    <row r="685" spans="51:75">
      <c r="AY685" s="1184"/>
      <c r="AZ685" s="1183" t="s">
        <v>1700</v>
      </c>
      <c r="BA685" s="1172">
        <v>3</v>
      </c>
      <c r="BB685" s="1152">
        <v>1.19</v>
      </c>
      <c r="BC685" s="1097">
        <v>7</v>
      </c>
      <c r="BD685" s="1061">
        <v>1000</v>
      </c>
      <c r="BE685" s="1061">
        <v>1500</v>
      </c>
      <c r="BF685" s="1061">
        <v>2000</v>
      </c>
      <c r="BG685" s="1061">
        <v>3000</v>
      </c>
      <c r="BH685" s="1061">
        <v>5000</v>
      </c>
      <c r="BI685" s="1061">
        <v>7000</v>
      </c>
      <c r="BJ685" s="1060" t="s">
        <v>1320</v>
      </c>
      <c r="BL685" s="1060" t="s">
        <v>1333</v>
      </c>
      <c r="BN685" s="1182"/>
      <c r="BO685" s="1060" t="s">
        <v>1699</v>
      </c>
      <c r="BW685" s="1181"/>
    </row>
    <row r="686" spans="51:75">
      <c r="AY686" s="1184"/>
      <c r="AZ686" s="1183" t="s">
        <v>1698</v>
      </c>
      <c r="BA686" s="1172">
        <v>3</v>
      </c>
      <c r="BB686" s="1152">
        <v>1.19</v>
      </c>
      <c r="BC686" s="1097">
        <v>6.8</v>
      </c>
      <c r="BD686" s="1061">
        <v>1000</v>
      </c>
      <c r="BE686" s="1061">
        <v>1500</v>
      </c>
      <c r="BF686" s="1061">
        <v>2000</v>
      </c>
      <c r="BG686" s="1061">
        <v>3000</v>
      </c>
      <c r="BH686" s="1061">
        <v>5000</v>
      </c>
      <c r="BI686" s="1061">
        <v>7000</v>
      </c>
      <c r="BJ686" s="1060" t="s">
        <v>1320</v>
      </c>
      <c r="BL686" s="1060" t="s">
        <v>1333</v>
      </c>
      <c r="BN686" s="1182"/>
      <c r="BO686" s="1060" t="s">
        <v>1697</v>
      </c>
      <c r="BW686" s="1181"/>
    </row>
    <row r="687" spans="51:75">
      <c r="AY687" s="1184"/>
      <c r="AZ687" s="1183" t="s">
        <v>1696</v>
      </c>
      <c r="BA687" s="1172">
        <v>3</v>
      </c>
      <c r="BB687" s="1152">
        <v>1.19</v>
      </c>
      <c r="BC687" s="1097">
        <v>7</v>
      </c>
      <c r="BD687" s="1061">
        <v>1000</v>
      </c>
      <c r="BE687" s="1061">
        <v>1500</v>
      </c>
      <c r="BF687" s="1061">
        <v>2000</v>
      </c>
      <c r="BG687" s="1061">
        <v>3000</v>
      </c>
      <c r="BH687" s="1061">
        <v>5000</v>
      </c>
      <c r="BI687" s="1061">
        <v>7000</v>
      </c>
      <c r="BJ687" s="1060" t="s">
        <v>1320</v>
      </c>
      <c r="BL687" s="1060" t="s">
        <v>1333</v>
      </c>
      <c r="BN687" s="1182"/>
      <c r="BO687" s="1060" t="s">
        <v>1695</v>
      </c>
      <c r="BW687" s="1181"/>
    </row>
    <row r="688" spans="51:75">
      <c r="AY688" s="1184"/>
      <c r="AZ688" s="1183" t="s">
        <v>1694</v>
      </c>
      <c r="BA688" s="1172">
        <v>3</v>
      </c>
      <c r="BB688" s="1152">
        <v>0.87</v>
      </c>
      <c r="BC688" s="1097">
        <v>7</v>
      </c>
      <c r="BD688" s="1061">
        <v>1000</v>
      </c>
      <c r="BE688" s="1061">
        <v>1500</v>
      </c>
      <c r="BF688" s="1061">
        <v>2000</v>
      </c>
      <c r="BG688" s="1061">
        <v>3000</v>
      </c>
      <c r="BH688" s="1061">
        <v>5000</v>
      </c>
      <c r="BI688" s="1061">
        <v>7000</v>
      </c>
      <c r="BJ688" s="1060" t="s">
        <v>1320</v>
      </c>
      <c r="BL688" s="1060" t="s">
        <v>1333</v>
      </c>
      <c r="BN688" s="1182"/>
      <c r="BO688" s="1060" t="s">
        <v>1693</v>
      </c>
      <c r="BW688" s="1181"/>
    </row>
    <row r="689" spans="51:75">
      <c r="AY689" s="1184"/>
      <c r="AZ689" s="1183" t="s">
        <v>960</v>
      </c>
      <c r="BA689" s="1172">
        <v>6</v>
      </c>
      <c r="BB689" s="1152">
        <v>0.61</v>
      </c>
      <c r="BC689" s="1097">
        <v>6.7</v>
      </c>
      <c r="BD689" s="1061">
        <v>3000</v>
      </c>
      <c r="BE689" s="1061">
        <v>5000</v>
      </c>
      <c r="BF689" s="1061">
        <v>7000</v>
      </c>
      <c r="BG689" s="1061">
        <v>7000</v>
      </c>
      <c r="BH689" s="1061">
        <v>9000</v>
      </c>
      <c r="BI689" s="1061">
        <v>11000</v>
      </c>
      <c r="BJ689" s="1060" t="s">
        <v>1320</v>
      </c>
      <c r="BL689" s="1060" t="s">
        <v>1324</v>
      </c>
      <c r="BN689" s="1182"/>
      <c r="BO689" s="1060" t="s">
        <v>1692</v>
      </c>
      <c r="BW689" s="1181"/>
    </row>
    <row r="690" spans="51:75">
      <c r="AY690" s="1184"/>
      <c r="AZ690" s="1183" t="s">
        <v>961</v>
      </c>
      <c r="BA690" s="1172">
        <v>6</v>
      </c>
      <c r="BB690" s="1152">
        <v>0.61</v>
      </c>
      <c r="BC690" s="1097">
        <v>6.7</v>
      </c>
      <c r="BD690" s="1061">
        <v>3000</v>
      </c>
      <c r="BE690" s="1061">
        <v>5000</v>
      </c>
      <c r="BF690" s="1061">
        <v>7000</v>
      </c>
      <c r="BG690" s="1061">
        <v>7000</v>
      </c>
      <c r="BH690" s="1061">
        <v>9000</v>
      </c>
      <c r="BI690" s="1061">
        <v>11000</v>
      </c>
      <c r="BJ690" s="1060" t="s">
        <v>1320</v>
      </c>
      <c r="BL690" s="1060" t="s">
        <v>1324</v>
      </c>
      <c r="BN690" s="1182"/>
      <c r="BO690" s="1060" t="s">
        <v>1691</v>
      </c>
      <c r="BW690" s="1181"/>
    </row>
    <row r="691" spans="51:75">
      <c r="AY691" s="1184"/>
      <c r="AZ691" s="1183" t="s">
        <v>1120</v>
      </c>
      <c r="BA691" s="1172">
        <v>7</v>
      </c>
      <c r="BB691" s="1152">
        <v>1.37</v>
      </c>
      <c r="BC691" s="1097">
        <v>7.8</v>
      </c>
      <c r="BD691" s="1061">
        <v>4000</v>
      </c>
      <c r="BE691" s="1061">
        <v>5000</v>
      </c>
      <c r="BF691" s="1061">
        <v>6000</v>
      </c>
      <c r="BG691" s="1061">
        <v>8000</v>
      </c>
      <c r="BH691" s="1061">
        <v>10000</v>
      </c>
      <c r="BI691" s="1061">
        <v>12000</v>
      </c>
      <c r="BJ691" s="1060" t="s">
        <v>1320</v>
      </c>
      <c r="BL691" s="1060" t="s">
        <v>1387</v>
      </c>
      <c r="BN691" s="1182"/>
      <c r="BO691" s="1060" t="s">
        <v>1690</v>
      </c>
      <c r="BW691" s="1181"/>
    </row>
    <row r="692" spans="51:75">
      <c r="AY692" s="1184"/>
      <c r="AZ692" s="1183" t="s">
        <v>1121</v>
      </c>
      <c r="BA692" s="1172">
        <v>7</v>
      </c>
      <c r="BB692" s="1152">
        <v>1.37</v>
      </c>
      <c r="BC692" s="1097">
        <v>7.8</v>
      </c>
      <c r="BD692" s="1061">
        <v>4000</v>
      </c>
      <c r="BE692" s="1061">
        <v>5000</v>
      </c>
      <c r="BF692" s="1061">
        <v>6000</v>
      </c>
      <c r="BG692" s="1061">
        <v>8000</v>
      </c>
      <c r="BH692" s="1061">
        <v>10000</v>
      </c>
      <c r="BI692" s="1061">
        <v>12000</v>
      </c>
      <c r="BJ692" s="1060" t="s">
        <v>1320</v>
      </c>
      <c r="BL692" s="1060" t="s">
        <v>1387</v>
      </c>
      <c r="BN692" s="1182"/>
      <c r="BO692" s="1060" t="s">
        <v>1689</v>
      </c>
      <c r="BW692" s="1181"/>
    </row>
    <row r="693" spans="51:75">
      <c r="AY693" s="1184"/>
      <c r="AZ693" s="1183" t="s">
        <v>1122</v>
      </c>
      <c r="BA693" s="1172">
        <v>7</v>
      </c>
      <c r="BB693" s="1152">
        <v>0.66</v>
      </c>
      <c r="BC693" s="1097">
        <v>7.8</v>
      </c>
      <c r="BD693" s="1061">
        <v>4000</v>
      </c>
      <c r="BE693" s="1061">
        <v>5000</v>
      </c>
      <c r="BF693" s="1061">
        <v>6000</v>
      </c>
      <c r="BG693" s="1061">
        <v>8000</v>
      </c>
      <c r="BH693" s="1061">
        <v>10000</v>
      </c>
      <c r="BI693" s="1061">
        <v>12000</v>
      </c>
      <c r="BJ693" s="1060" t="s">
        <v>1320</v>
      </c>
      <c r="BL693" s="1060" t="s">
        <v>1387</v>
      </c>
      <c r="BN693" s="1182"/>
      <c r="BO693" s="1060" t="s">
        <v>1688</v>
      </c>
      <c r="BW693" s="1181"/>
    </row>
    <row r="694" spans="51:75">
      <c r="AY694" s="1184"/>
      <c r="AZ694" s="1183" t="s">
        <v>777</v>
      </c>
      <c r="BA694" s="1172">
        <v>1</v>
      </c>
      <c r="BB694" s="1152">
        <v>0.1</v>
      </c>
      <c r="BC694" s="1097">
        <v>8.1999999999999993</v>
      </c>
      <c r="BD694" s="1061">
        <v>400</v>
      </c>
      <c r="BE694" s="1061">
        <v>800</v>
      </c>
      <c r="BF694" s="1061">
        <v>1200</v>
      </c>
      <c r="BG694" s="1061">
        <v>1500</v>
      </c>
      <c r="BH694" s="1061">
        <v>2000</v>
      </c>
      <c r="BI694" s="1061">
        <v>2500</v>
      </c>
      <c r="BJ694" s="1060" t="s">
        <v>1320</v>
      </c>
      <c r="BL694" s="1060" t="s">
        <v>1387</v>
      </c>
      <c r="BN694" s="1182"/>
      <c r="BO694" s="1060" t="s">
        <v>1687</v>
      </c>
      <c r="BW694" s="1181"/>
    </row>
    <row r="695" spans="51:75">
      <c r="AY695" s="1184"/>
      <c r="AZ695" s="1183" t="s">
        <v>836</v>
      </c>
      <c r="BA695" s="1172">
        <v>2</v>
      </c>
      <c r="BB695" s="1152">
        <v>0.99</v>
      </c>
      <c r="BC695" s="1097">
        <v>6.9</v>
      </c>
      <c r="BD695" s="1061">
        <v>700</v>
      </c>
      <c r="BE695" s="1061">
        <v>1200</v>
      </c>
      <c r="BF695" s="1061">
        <v>1700</v>
      </c>
      <c r="BG695" s="1061">
        <v>2000</v>
      </c>
      <c r="BH695" s="1061">
        <v>2500</v>
      </c>
      <c r="BI695" s="1061">
        <v>3000</v>
      </c>
      <c r="BJ695" s="1060" t="s">
        <v>1320</v>
      </c>
      <c r="BL695" s="1060" t="s">
        <v>1324</v>
      </c>
      <c r="BN695" s="1182"/>
      <c r="BO695" s="1060" t="s">
        <v>1686</v>
      </c>
      <c r="BW695" s="1181"/>
    </row>
    <row r="696" spans="51:75">
      <c r="AY696" s="1184"/>
      <c r="AZ696" s="1183" t="s">
        <v>839</v>
      </c>
      <c r="BA696" s="1172">
        <v>2</v>
      </c>
      <c r="BB696" s="1152">
        <v>0.99</v>
      </c>
      <c r="BC696" s="1097">
        <v>6.9</v>
      </c>
      <c r="BD696" s="1061">
        <v>700</v>
      </c>
      <c r="BE696" s="1061">
        <v>1200</v>
      </c>
      <c r="BF696" s="1061">
        <v>1700</v>
      </c>
      <c r="BG696" s="1061">
        <v>2000</v>
      </c>
      <c r="BH696" s="1061">
        <v>2500</v>
      </c>
      <c r="BI696" s="1061">
        <v>3000</v>
      </c>
      <c r="BJ696" s="1060" t="s">
        <v>1320</v>
      </c>
      <c r="BL696" s="1060" t="s">
        <v>1324</v>
      </c>
      <c r="BN696" s="1182"/>
      <c r="BO696" s="1060" t="s">
        <v>1685</v>
      </c>
      <c r="BW696" s="1181"/>
    </row>
    <row r="697" spans="51:75">
      <c r="AY697" s="1184"/>
      <c r="AZ697" s="1183" t="s">
        <v>840</v>
      </c>
      <c r="BA697" s="1172">
        <v>2</v>
      </c>
      <c r="BB697" s="1152">
        <v>0.99</v>
      </c>
      <c r="BC697" s="1097">
        <v>6.9</v>
      </c>
      <c r="BD697" s="1061">
        <v>700</v>
      </c>
      <c r="BE697" s="1061">
        <v>1200</v>
      </c>
      <c r="BF697" s="1061">
        <v>1700</v>
      </c>
      <c r="BG697" s="1061">
        <v>2000</v>
      </c>
      <c r="BH697" s="1061">
        <v>2500</v>
      </c>
      <c r="BI697" s="1061">
        <v>3000</v>
      </c>
      <c r="BJ697" s="1060" t="s">
        <v>1320</v>
      </c>
      <c r="BL697" s="1060" t="s">
        <v>1324</v>
      </c>
      <c r="BN697" s="1182"/>
      <c r="BO697" s="1060" t="s">
        <v>1684</v>
      </c>
      <c r="BW697" s="1181"/>
    </row>
    <row r="698" spans="51:75">
      <c r="AY698" s="1184"/>
      <c r="AZ698" s="1183" t="s">
        <v>834</v>
      </c>
      <c r="BA698" s="1172">
        <v>2</v>
      </c>
      <c r="BB698" s="1152">
        <v>1.04</v>
      </c>
      <c r="BC698" s="1097">
        <v>6.7</v>
      </c>
      <c r="BD698" s="1061">
        <v>700</v>
      </c>
      <c r="BE698" s="1061">
        <v>1200</v>
      </c>
      <c r="BF698" s="1061">
        <v>1700</v>
      </c>
      <c r="BG698" s="1061">
        <v>2000</v>
      </c>
      <c r="BH698" s="1061">
        <v>2500</v>
      </c>
      <c r="BI698" s="1061">
        <v>3000</v>
      </c>
      <c r="BJ698" s="1060" t="s">
        <v>1320</v>
      </c>
      <c r="BL698" s="1060" t="s">
        <v>1324</v>
      </c>
      <c r="BN698" s="1182"/>
      <c r="BO698" s="1060" t="s">
        <v>1683</v>
      </c>
      <c r="BW698" s="1181"/>
    </row>
    <row r="699" spans="51:75">
      <c r="AY699" s="1184"/>
      <c r="AZ699" s="1183" t="s">
        <v>841</v>
      </c>
      <c r="BA699" s="1172">
        <v>2</v>
      </c>
      <c r="BB699" s="1152">
        <v>0.99</v>
      </c>
      <c r="BC699" s="1097">
        <v>6.9</v>
      </c>
      <c r="BD699" s="1061">
        <v>700</v>
      </c>
      <c r="BE699" s="1061">
        <v>1200</v>
      </c>
      <c r="BF699" s="1061">
        <v>1700</v>
      </c>
      <c r="BG699" s="1061">
        <v>2000</v>
      </c>
      <c r="BH699" s="1061">
        <v>2500</v>
      </c>
      <c r="BI699" s="1061">
        <v>3000</v>
      </c>
      <c r="BJ699" s="1060" t="s">
        <v>1320</v>
      </c>
      <c r="BL699" s="1060" t="s">
        <v>1324</v>
      </c>
      <c r="BN699" s="1182"/>
      <c r="BO699" s="1060" t="s">
        <v>1682</v>
      </c>
      <c r="BW699" s="1181"/>
    </row>
    <row r="700" spans="51:75">
      <c r="AY700" s="1184"/>
      <c r="AZ700" s="1183" t="s">
        <v>835</v>
      </c>
      <c r="BA700" s="1172">
        <v>2</v>
      </c>
      <c r="BB700" s="1152">
        <v>1.04</v>
      </c>
      <c r="BC700" s="1097">
        <v>6.7</v>
      </c>
      <c r="BD700" s="1061">
        <v>700</v>
      </c>
      <c r="BE700" s="1061">
        <v>1200</v>
      </c>
      <c r="BF700" s="1061">
        <v>1700</v>
      </c>
      <c r="BG700" s="1061">
        <v>2000</v>
      </c>
      <c r="BH700" s="1061">
        <v>2500</v>
      </c>
      <c r="BI700" s="1061">
        <v>3000</v>
      </c>
      <c r="BJ700" s="1060" t="s">
        <v>1320</v>
      </c>
      <c r="BL700" s="1060" t="s">
        <v>1324</v>
      </c>
      <c r="BN700" s="1182"/>
      <c r="BO700" s="1060" t="s">
        <v>1681</v>
      </c>
      <c r="BW700" s="1181"/>
    </row>
    <row r="701" spans="51:75">
      <c r="AY701" s="1184"/>
      <c r="AZ701" s="1183" t="s">
        <v>844</v>
      </c>
      <c r="BA701" s="1172">
        <v>2</v>
      </c>
      <c r="BB701" s="1152">
        <v>1.04</v>
      </c>
      <c r="BC701" s="1097">
        <v>6.7</v>
      </c>
      <c r="BD701" s="1061">
        <v>700</v>
      </c>
      <c r="BE701" s="1061">
        <v>1200</v>
      </c>
      <c r="BF701" s="1061">
        <v>1700</v>
      </c>
      <c r="BG701" s="1061">
        <v>2000</v>
      </c>
      <c r="BH701" s="1061">
        <v>2500</v>
      </c>
      <c r="BI701" s="1061">
        <v>3000</v>
      </c>
      <c r="BJ701" s="1060" t="s">
        <v>1320</v>
      </c>
      <c r="BL701" s="1060" t="s">
        <v>1324</v>
      </c>
      <c r="BN701" s="1182"/>
      <c r="BO701" s="1060" t="s">
        <v>1680</v>
      </c>
      <c r="BW701" s="1181"/>
    </row>
    <row r="702" spans="51:75">
      <c r="AY702" s="1184"/>
      <c r="AZ702" s="1183" t="s">
        <v>845</v>
      </c>
      <c r="BA702" s="1172">
        <v>2</v>
      </c>
      <c r="BB702" s="1152">
        <v>0.99</v>
      </c>
      <c r="BC702" s="1097">
        <v>6.9</v>
      </c>
      <c r="BD702" s="1061">
        <v>700</v>
      </c>
      <c r="BE702" s="1061">
        <v>1200</v>
      </c>
      <c r="BF702" s="1061">
        <v>1700</v>
      </c>
      <c r="BG702" s="1061">
        <v>2000</v>
      </c>
      <c r="BH702" s="1061">
        <v>2500</v>
      </c>
      <c r="BI702" s="1061">
        <v>3000</v>
      </c>
      <c r="BJ702" s="1060" t="s">
        <v>1320</v>
      </c>
      <c r="BL702" s="1060" t="s">
        <v>1324</v>
      </c>
      <c r="BN702" s="1182"/>
      <c r="BO702" s="1060" t="s">
        <v>1679</v>
      </c>
      <c r="BW702" s="1181"/>
    </row>
    <row r="703" spans="51:75">
      <c r="AY703" s="1184"/>
      <c r="AZ703" s="1183" t="s">
        <v>846</v>
      </c>
      <c r="BA703" s="1172">
        <v>2</v>
      </c>
      <c r="BB703" s="1152">
        <v>0.99</v>
      </c>
      <c r="BC703" s="1097">
        <v>6.9</v>
      </c>
      <c r="BD703" s="1061">
        <v>700</v>
      </c>
      <c r="BE703" s="1061">
        <v>1200</v>
      </c>
      <c r="BF703" s="1061">
        <v>1700</v>
      </c>
      <c r="BG703" s="1061">
        <v>2000</v>
      </c>
      <c r="BH703" s="1061">
        <v>2500</v>
      </c>
      <c r="BI703" s="1061">
        <v>3000</v>
      </c>
      <c r="BJ703" s="1060" t="s">
        <v>1320</v>
      </c>
      <c r="BL703" s="1060" t="s">
        <v>1324</v>
      </c>
      <c r="BN703" s="1182"/>
      <c r="BO703" s="1060" t="s">
        <v>1678</v>
      </c>
      <c r="BW703" s="1181"/>
    </row>
    <row r="704" spans="51:75">
      <c r="AY704" s="1184"/>
      <c r="AZ704" s="1183" t="s">
        <v>778</v>
      </c>
      <c r="BA704" s="1172">
        <v>1</v>
      </c>
      <c r="BB704" s="1152">
        <v>0.5</v>
      </c>
      <c r="BC704" s="1097">
        <v>7</v>
      </c>
      <c r="BD704" s="1061">
        <v>400</v>
      </c>
      <c r="BE704" s="1061">
        <v>800</v>
      </c>
      <c r="BF704" s="1061">
        <v>1200</v>
      </c>
      <c r="BG704" s="1061">
        <v>1500</v>
      </c>
      <c r="BH704" s="1061">
        <v>2000</v>
      </c>
      <c r="BI704" s="1061">
        <v>2500</v>
      </c>
      <c r="BJ704" s="1060" t="s">
        <v>1320</v>
      </c>
      <c r="BL704" s="1060" t="s">
        <v>1677</v>
      </c>
      <c r="BN704" s="1182"/>
      <c r="BO704" s="1060" t="s">
        <v>1676</v>
      </c>
      <c r="BW704" s="1181"/>
    </row>
    <row r="705" spans="51:75">
      <c r="AY705" s="1184"/>
      <c r="AZ705" s="1183" t="s">
        <v>847</v>
      </c>
      <c r="BA705" s="1172">
        <v>2</v>
      </c>
      <c r="BB705" s="1152">
        <v>2.6</v>
      </c>
      <c r="BC705" s="1097">
        <v>7.3</v>
      </c>
      <c r="BD705" s="1061">
        <v>700</v>
      </c>
      <c r="BE705" s="1061">
        <v>1200</v>
      </c>
      <c r="BF705" s="1061">
        <v>1700</v>
      </c>
      <c r="BG705" s="1061">
        <v>2000</v>
      </c>
      <c r="BH705" s="1061">
        <v>2500</v>
      </c>
      <c r="BI705" s="1061">
        <v>3000</v>
      </c>
      <c r="BJ705" s="1060" t="s">
        <v>1320</v>
      </c>
      <c r="BL705" s="1060" t="s">
        <v>1672</v>
      </c>
      <c r="BN705" s="1182"/>
      <c r="BO705" s="1060" t="s">
        <v>1675</v>
      </c>
      <c r="BW705" s="1181"/>
    </row>
    <row r="706" spans="51:75">
      <c r="AY706" s="1184"/>
      <c r="AZ706" s="1183" t="s">
        <v>848</v>
      </c>
      <c r="BA706" s="1172">
        <v>2</v>
      </c>
      <c r="BB706" s="1152">
        <v>2.6</v>
      </c>
      <c r="BC706" s="1097">
        <v>7.3</v>
      </c>
      <c r="BD706" s="1061">
        <v>700</v>
      </c>
      <c r="BE706" s="1061">
        <v>1200</v>
      </c>
      <c r="BF706" s="1061">
        <v>1700</v>
      </c>
      <c r="BG706" s="1061">
        <v>2000</v>
      </c>
      <c r="BH706" s="1061">
        <v>2500</v>
      </c>
      <c r="BI706" s="1061">
        <v>3000</v>
      </c>
      <c r="BJ706" s="1060" t="s">
        <v>1320</v>
      </c>
      <c r="BL706" s="1060" t="s">
        <v>1672</v>
      </c>
      <c r="BN706" s="1182"/>
      <c r="BO706" s="1060" t="s">
        <v>1674</v>
      </c>
      <c r="BW706" s="1181"/>
    </row>
    <row r="707" spans="51:75">
      <c r="AY707" s="1184"/>
      <c r="AZ707" s="1183" t="s">
        <v>849</v>
      </c>
      <c r="BA707" s="1172">
        <v>2</v>
      </c>
      <c r="BB707" s="1152">
        <v>2.6</v>
      </c>
      <c r="BC707" s="1097">
        <v>7.3</v>
      </c>
      <c r="BD707" s="1061">
        <v>700</v>
      </c>
      <c r="BE707" s="1061">
        <v>1200</v>
      </c>
      <c r="BF707" s="1061">
        <v>1700</v>
      </c>
      <c r="BG707" s="1061">
        <v>2000</v>
      </c>
      <c r="BH707" s="1061">
        <v>2500</v>
      </c>
      <c r="BI707" s="1061">
        <v>3000</v>
      </c>
      <c r="BJ707" s="1060" t="s">
        <v>1320</v>
      </c>
      <c r="BL707" s="1060" t="s">
        <v>1672</v>
      </c>
      <c r="BN707" s="1182"/>
      <c r="BO707" s="1060" t="s">
        <v>1673</v>
      </c>
      <c r="BW707" s="1181"/>
    </row>
    <row r="708" spans="51:75">
      <c r="AY708" s="1184"/>
      <c r="AZ708" s="1183" t="s">
        <v>850</v>
      </c>
      <c r="BA708" s="1172">
        <v>2</v>
      </c>
      <c r="BB708" s="1152">
        <v>2.6</v>
      </c>
      <c r="BC708" s="1097">
        <v>7.5</v>
      </c>
      <c r="BD708" s="1061">
        <v>700</v>
      </c>
      <c r="BE708" s="1061">
        <v>1200</v>
      </c>
      <c r="BF708" s="1061">
        <v>1700</v>
      </c>
      <c r="BG708" s="1061">
        <v>2000</v>
      </c>
      <c r="BH708" s="1061">
        <v>2500</v>
      </c>
      <c r="BI708" s="1061">
        <v>3000</v>
      </c>
      <c r="BJ708" s="1060" t="s">
        <v>1320</v>
      </c>
      <c r="BL708" s="1060" t="s">
        <v>1672</v>
      </c>
      <c r="BN708" s="1182"/>
      <c r="BO708" s="1060" t="s">
        <v>1671</v>
      </c>
      <c r="BW708" s="1181"/>
    </row>
    <row r="709" spans="51:75">
      <c r="AY709" s="1184"/>
      <c r="AZ709" s="1183" t="s">
        <v>1027</v>
      </c>
      <c r="BA709" s="1172">
        <v>5</v>
      </c>
      <c r="BB709" s="1152">
        <v>0.88</v>
      </c>
      <c r="BC709" s="1097">
        <v>6.6</v>
      </c>
      <c r="BD709" s="1061">
        <v>3000</v>
      </c>
      <c r="BE709" s="1061">
        <v>5000</v>
      </c>
      <c r="BF709" s="1061">
        <v>7000</v>
      </c>
      <c r="BG709" s="1061">
        <v>7000</v>
      </c>
      <c r="BH709" s="1061">
        <v>9000</v>
      </c>
      <c r="BI709" s="1061">
        <v>11000</v>
      </c>
      <c r="BJ709" s="1060" t="s">
        <v>1320</v>
      </c>
      <c r="BL709" s="1060" t="s">
        <v>1333</v>
      </c>
      <c r="BN709" s="1182"/>
      <c r="BO709" s="1060" t="s">
        <v>1670</v>
      </c>
      <c r="BW709" s="1181"/>
    </row>
    <row r="710" spans="51:75">
      <c r="AY710" s="1184"/>
      <c r="AZ710" s="1183" t="s">
        <v>1028</v>
      </c>
      <c r="BA710" s="1172">
        <v>5</v>
      </c>
      <c r="BB710" s="1152">
        <v>0.88</v>
      </c>
      <c r="BC710" s="1097">
        <v>6.6</v>
      </c>
      <c r="BD710" s="1061">
        <v>3000</v>
      </c>
      <c r="BE710" s="1061">
        <v>5000</v>
      </c>
      <c r="BF710" s="1061">
        <v>7000</v>
      </c>
      <c r="BG710" s="1061">
        <v>7000</v>
      </c>
      <c r="BH710" s="1061">
        <v>9000</v>
      </c>
      <c r="BI710" s="1061">
        <v>11000</v>
      </c>
      <c r="BJ710" s="1060" t="s">
        <v>1320</v>
      </c>
      <c r="BL710" s="1060" t="s">
        <v>1333</v>
      </c>
      <c r="BN710" s="1182"/>
      <c r="BO710" s="1060" t="s">
        <v>1669</v>
      </c>
      <c r="BW710" s="1181"/>
    </row>
    <row r="711" spans="51:75">
      <c r="AY711" s="1184"/>
      <c r="AZ711" s="1183" t="s">
        <v>1029</v>
      </c>
      <c r="BA711" s="1172">
        <v>5</v>
      </c>
      <c r="BB711" s="1152">
        <v>0.88</v>
      </c>
      <c r="BC711" s="1097">
        <v>6.6</v>
      </c>
      <c r="BD711" s="1061">
        <v>3000</v>
      </c>
      <c r="BE711" s="1061">
        <v>5000</v>
      </c>
      <c r="BF711" s="1061">
        <v>7000</v>
      </c>
      <c r="BG711" s="1061">
        <v>7000</v>
      </c>
      <c r="BH711" s="1061">
        <v>9000</v>
      </c>
      <c r="BI711" s="1061">
        <v>11000</v>
      </c>
      <c r="BJ711" s="1060" t="s">
        <v>1320</v>
      </c>
      <c r="BL711" s="1060" t="s">
        <v>1333</v>
      </c>
      <c r="BN711" s="1182"/>
      <c r="BO711" s="1060" t="s">
        <v>1668</v>
      </c>
      <c r="BW711" s="1181"/>
    </row>
    <row r="712" spans="51:75">
      <c r="AY712" s="1184"/>
      <c r="AZ712" s="1183" t="s">
        <v>1030</v>
      </c>
      <c r="BA712" s="1172">
        <v>5</v>
      </c>
      <c r="BB712" s="1152">
        <v>0.88</v>
      </c>
      <c r="BC712" s="1097">
        <v>6.6</v>
      </c>
      <c r="BD712" s="1061">
        <v>3000</v>
      </c>
      <c r="BE712" s="1061">
        <v>5000</v>
      </c>
      <c r="BF712" s="1061">
        <v>7000</v>
      </c>
      <c r="BG712" s="1061">
        <v>7000</v>
      </c>
      <c r="BH712" s="1061">
        <v>9000</v>
      </c>
      <c r="BI712" s="1061">
        <v>11000</v>
      </c>
      <c r="BJ712" s="1060" t="s">
        <v>1320</v>
      </c>
      <c r="BL712" s="1060" t="s">
        <v>1333</v>
      </c>
      <c r="BN712" s="1182"/>
      <c r="BO712" s="1060" t="s">
        <v>1667</v>
      </c>
      <c r="BW712" s="1181"/>
    </row>
    <row r="713" spans="51:75">
      <c r="AY713" s="1184"/>
      <c r="AZ713" s="1183" t="s">
        <v>1031</v>
      </c>
      <c r="BA713" s="1172">
        <v>5</v>
      </c>
      <c r="BB713" s="1152">
        <v>0.88</v>
      </c>
      <c r="BC713" s="1097">
        <v>6.6</v>
      </c>
      <c r="BD713" s="1061">
        <v>3000</v>
      </c>
      <c r="BE713" s="1061">
        <v>5000</v>
      </c>
      <c r="BF713" s="1061">
        <v>7000</v>
      </c>
      <c r="BG713" s="1061">
        <v>7000</v>
      </c>
      <c r="BH713" s="1061">
        <v>9000</v>
      </c>
      <c r="BI713" s="1061">
        <v>11000</v>
      </c>
      <c r="BJ713" s="1060" t="s">
        <v>1320</v>
      </c>
      <c r="BL713" s="1060" t="s">
        <v>1333</v>
      </c>
      <c r="BN713" s="1182"/>
      <c r="BO713" s="1060" t="s">
        <v>1666</v>
      </c>
      <c r="BW713" s="1181"/>
    </row>
    <row r="714" spans="51:75">
      <c r="AY714" s="1184"/>
      <c r="AZ714" s="1183" t="s">
        <v>1032</v>
      </c>
      <c r="BA714" s="1172">
        <v>5</v>
      </c>
      <c r="BB714" s="1152">
        <v>0.88</v>
      </c>
      <c r="BC714" s="1097">
        <v>6.6</v>
      </c>
      <c r="BD714" s="1061">
        <v>3000</v>
      </c>
      <c r="BE714" s="1061">
        <v>5000</v>
      </c>
      <c r="BF714" s="1061">
        <v>7000</v>
      </c>
      <c r="BG714" s="1061">
        <v>7000</v>
      </c>
      <c r="BH714" s="1061">
        <v>9000</v>
      </c>
      <c r="BI714" s="1061">
        <v>11000</v>
      </c>
      <c r="BJ714" s="1060" t="s">
        <v>1320</v>
      </c>
      <c r="BL714" s="1060" t="s">
        <v>1333</v>
      </c>
      <c r="BN714" s="1182"/>
      <c r="BO714" s="1060" t="s">
        <v>1665</v>
      </c>
      <c r="BW714" s="1181"/>
    </row>
    <row r="715" spans="51:75">
      <c r="AY715" s="1184"/>
      <c r="AZ715" s="1183" t="s">
        <v>963</v>
      </c>
      <c r="BA715" s="1172">
        <v>3</v>
      </c>
      <c r="BB715" s="1152">
        <v>1.31</v>
      </c>
      <c r="BC715" s="1097">
        <v>5.6</v>
      </c>
      <c r="BD715" s="1061">
        <v>1000</v>
      </c>
      <c r="BE715" s="1061">
        <v>1500</v>
      </c>
      <c r="BF715" s="1061">
        <v>2000</v>
      </c>
      <c r="BG715" s="1061">
        <v>3000</v>
      </c>
      <c r="BH715" s="1061">
        <v>5000</v>
      </c>
      <c r="BI715" s="1061">
        <v>7000</v>
      </c>
      <c r="BJ715" s="1060" t="s">
        <v>1348</v>
      </c>
      <c r="BL715" s="1060" t="s">
        <v>1333</v>
      </c>
      <c r="BN715" s="1182"/>
      <c r="BO715" s="1060" t="s">
        <v>1664</v>
      </c>
      <c r="BW715" s="1181"/>
    </row>
    <row r="716" spans="51:75">
      <c r="AY716" s="1184"/>
      <c r="AZ716" s="1183" t="s">
        <v>964</v>
      </c>
      <c r="BA716" s="1172">
        <v>3</v>
      </c>
      <c r="BB716" s="1152">
        <v>1.31</v>
      </c>
      <c r="BC716" s="1097">
        <v>5.6</v>
      </c>
      <c r="BD716" s="1061">
        <v>1000</v>
      </c>
      <c r="BE716" s="1061">
        <v>1500</v>
      </c>
      <c r="BF716" s="1061">
        <v>2000</v>
      </c>
      <c r="BG716" s="1061">
        <v>3000</v>
      </c>
      <c r="BH716" s="1061">
        <v>5000</v>
      </c>
      <c r="BI716" s="1061">
        <v>7000</v>
      </c>
      <c r="BJ716" s="1060" t="s">
        <v>1348</v>
      </c>
      <c r="BL716" s="1060" t="s">
        <v>1333</v>
      </c>
      <c r="BN716" s="1182"/>
      <c r="BO716" s="1060" t="s">
        <v>1663</v>
      </c>
      <c r="BW716" s="1181"/>
    </row>
    <row r="717" spans="51:75">
      <c r="AY717" s="1184"/>
      <c r="AZ717" s="1183" t="s">
        <v>965</v>
      </c>
      <c r="BA717" s="1172">
        <v>3</v>
      </c>
      <c r="BB717" s="1152">
        <v>1.31</v>
      </c>
      <c r="BC717" s="1097">
        <v>5.6</v>
      </c>
      <c r="BD717" s="1061">
        <v>1000</v>
      </c>
      <c r="BE717" s="1061">
        <v>1500</v>
      </c>
      <c r="BF717" s="1061">
        <v>2000</v>
      </c>
      <c r="BG717" s="1061">
        <v>3000</v>
      </c>
      <c r="BH717" s="1061">
        <v>5000</v>
      </c>
      <c r="BI717" s="1061">
        <v>7000</v>
      </c>
      <c r="BJ717" s="1060" t="s">
        <v>1348</v>
      </c>
      <c r="BL717" s="1060" t="s">
        <v>1333</v>
      </c>
      <c r="BN717" s="1182"/>
      <c r="BO717" s="1060" t="s">
        <v>1662</v>
      </c>
      <c r="BW717" s="1181"/>
    </row>
    <row r="718" spans="51:75">
      <c r="AY718" s="1184"/>
      <c r="AZ718" s="1183" t="s">
        <v>966</v>
      </c>
      <c r="BA718" s="1172">
        <v>3</v>
      </c>
      <c r="BB718" s="1152">
        <v>1.31</v>
      </c>
      <c r="BC718" s="1097">
        <v>5.6</v>
      </c>
      <c r="BD718" s="1061">
        <v>1000</v>
      </c>
      <c r="BE718" s="1061">
        <v>1500</v>
      </c>
      <c r="BF718" s="1061">
        <v>2000</v>
      </c>
      <c r="BG718" s="1061">
        <v>3000</v>
      </c>
      <c r="BH718" s="1061">
        <v>5000</v>
      </c>
      <c r="BI718" s="1061">
        <v>7000</v>
      </c>
      <c r="BJ718" s="1060" t="s">
        <v>1348</v>
      </c>
      <c r="BL718" s="1060" t="s">
        <v>1333</v>
      </c>
      <c r="BN718" s="1182"/>
      <c r="BO718" s="1060" t="s">
        <v>1661</v>
      </c>
      <c r="BW718" s="1181"/>
    </row>
    <row r="719" spans="51:75">
      <c r="AY719" s="1184"/>
      <c r="AZ719" s="1183" t="s">
        <v>967</v>
      </c>
      <c r="BA719" s="1172">
        <v>3</v>
      </c>
      <c r="BB719" s="1152">
        <v>0</v>
      </c>
      <c r="BD719" s="1061">
        <v>1000</v>
      </c>
      <c r="BE719" s="1061">
        <v>1500</v>
      </c>
      <c r="BF719" s="1061">
        <v>2000</v>
      </c>
      <c r="BG719" s="1061">
        <v>3000</v>
      </c>
      <c r="BH719" s="1061">
        <v>5000</v>
      </c>
      <c r="BI719" s="1061">
        <v>7000</v>
      </c>
      <c r="BJ719" s="1060" t="s">
        <v>1348</v>
      </c>
      <c r="BL719" s="1060" t="s">
        <v>1324</v>
      </c>
      <c r="BN719" s="1182"/>
      <c r="BO719" s="1060" t="s">
        <v>1660</v>
      </c>
      <c r="BW719" s="1181"/>
    </row>
    <row r="720" spans="51:75">
      <c r="AY720" s="1184"/>
      <c r="AZ720" s="1183" t="s">
        <v>851</v>
      </c>
      <c r="BA720" s="1172">
        <v>2</v>
      </c>
      <c r="BB720" s="1152">
        <v>1.61</v>
      </c>
      <c r="BC720" s="1097">
        <v>7</v>
      </c>
      <c r="BD720" s="1061">
        <v>700</v>
      </c>
      <c r="BE720" s="1061">
        <v>1200</v>
      </c>
      <c r="BF720" s="1061">
        <v>1700</v>
      </c>
      <c r="BG720" s="1061">
        <v>2000</v>
      </c>
      <c r="BH720" s="1061">
        <v>2500</v>
      </c>
      <c r="BI720" s="1061">
        <v>3000</v>
      </c>
      <c r="BJ720" s="1060" t="s">
        <v>1320</v>
      </c>
      <c r="BL720" s="1060" t="s">
        <v>1329</v>
      </c>
      <c r="BN720" s="1182"/>
      <c r="BO720" s="1060" t="s">
        <v>1659</v>
      </c>
      <c r="BW720" s="1181"/>
    </row>
    <row r="721" spans="51:75">
      <c r="AY721" s="1184"/>
      <c r="AZ721" s="1183" t="s">
        <v>852</v>
      </c>
      <c r="BA721" s="1172">
        <v>2</v>
      </c>
      <c r="BB721" s="1152">
        <v>1.61</v>
      </c>
      <c r="BC721" s="1097">
        <v>7</v>
      </c>
      <c r="BD721" s="1061">
        <v>700</v>
      </c>
      <c r="BE721" s="1061">
        <v>1200</v>
      </c>
      <c r="BF721" s="1061">
        <v>1700</v>
      </c>
      <c r="BG721" s="1061">
        <v>2000</v>
      </c>
      <c r="BH721" s="1061">
        <v>2500</v>
      </c>
      <c r="BI721" s="1061">
        <v>3000</v>
      </c>
      <c r="BJ721" s="1060" t="s">
        <v>1320</v>
      </c>
      <c r="BL721" s="1060" t="s">
        <v>1329</v>
      </c>
      <c r="BN721" s="1182"/>
      <c r="BO721" s="1060" t="s">
        <v>1658</v>
      </c>
      <c r="BW721" s="1181"/>
    </row>
    <row r="722" spans="51:75">
      <c r="AY722" s="1184"/>
      <c r="AZ722" s="1183" t="s">
        <v>853</v>
      </c>
      <c r="BA722" s="1172">
        <v>2</v>
      </c>
      <c r="BB722" s="1152">
        <v>1.61</v>
      </c>
      <c r="BC722" s="1097">
        <v>7</v>
      </c>
      <c r="BD722" s="1061">
        <v>700</v>
      </c>
      <c r="BE722" s="1061">
        <v>1200</v>
      </c>
      <c r="BF722" s="1061">
        <v>1700</v>
      </c>
      <c r="BG722" s="1061">
        <v>2000</v>
      </c>
      <c r="BH722" s="1061">
        <v>2500</v>
      </c>
      <c r="BI722" s="1061">
        <v>3000</v>
      </c>
      <c r="BJ722" s="1060" t="s">
        <v>1320</v>
      </c>
      <c r="BL722" s="1060" t="s">
        <v>1329</v>
      </c>
      <c r="BN722" s="1182"/>
      <c r="BO722" s="1060" t="s">
        <v>1657</v>
      </c>
      <c r="BW722" s="1181"/>
    </row>
    <row r="723" spans="51:75">
      <c r="AY723" s="1184"/>
      <c r="AZ723" s="1183" t="s">
        <v>1228</v>
      </c>
      <c r="BA723" s="1172">
        <v>12</v>
      </c>
      <c r="BB723" s="1152">
        <v>5.93</v>
      </c>
      <c r="BC723" s="1097">
        <v>4.8</v>
      </c>
      <c r="BD723" s="1061">
        <v>2200</v>
      </c>
      <c r="BE723" s="1061">
        <v>2850</v>
      </c>
      <c r="BF723" s="1061">
        <v>3500</v>
      </c>
      <c r="BG723" s="1061">
        <v>4200</v>
      </c>
      <c r="BH723" s="1061">
        <v>6100</v>
      </c>
      <c r="BI723" s="1061">
        <v>8000</v>
      </c>
      <c r="BJ723" s="1060" t="s">
        <v>1348</v>
      </c>
      <c r="BL723" s="1060" t="s">
        <v>1390</v>
      </c>
      <c r="BN723" s="1182"/>
      <c r="BO723" s="1060" t="s">
        <v>1656</v>
      </c>
      <c r="BW723" s="1181"/>
    </row>
    <row r="724" spans="51:75">
      <c r="AY724" s="1184"/>
      <c r="AZ724" s="1183" t="s">
        <v>1229</v>
      </c>
      <c r="BA724" s="1172">
        <v>12</v>
      </c>
      <c r="BB724" s="1152">
        <v>5.93</v>
      </c>
      <c r="BC724" s="1097">
        <v>4.8</v>
      </c>
      <c r="BD724" s="1061">
        <v>2200</v>
      </c>
      <c r="BE724" s="1061">
        <v>2850</v>
      </c>
      <c r="BF724" s="1061">
        <v>3500</v>
      </c>
      <c r="BG724" s="1061">
        <v>4200</v>
      </c>
      <c r="BH724" s="1061">
        <v>6100</v>
      </c>
      <c r="BI724" s="1061">
        <v>8000</v>
      </c>
      <c r="BJ724" s="1060" t="s">
        <v>1348</v>
      </c>
      <c r="BL724" s="1060" t="s">
        <v>1390</v>
      </c>
      <c r="BN724" s="1182"/>
      <c r="BO724" s="1060" t="s">
        <v>1655</v>
      </c>
      <c r="BW724" s="1181"/>
    </row>
    <row r="725" spans="51:75">
      <c r="AY725" s="1184"/>
      <c r="AZ725" s="1183" t="s">
        <v>968</v>
      </c>
      <c r="BA725" s="1172">
        <v>3</v>
      </c>
      <c r="BB725" s="1152">
        <v>0.91</v>
      </c>
      <c r="BC725" s="1097">
        <v>7</v>
      </c>
      <c r="BD725" s="1061">
        <v>1000</v>
      </c>
      <c r="BE725" s="1061">
        <v>1500</v>
      </c>
      <c r="BF725" s="1061">
        <v>2000</v>
      </c>
      <c r="BG725" s="1061">
        <v>3000</v>
      </c>
      <c r="BH725" s="1061">
        <v>5000</v>
      </c>
      <c r="BI725" s="1061">
        <v>7000</v>
      </c>
      <c r="BJ725" s="1060" t="s">
        <v>1320</v>
      </c>
      <c r="BL725" s="1060" t="s">
        <v>1333</v>
      </c>
      <c r="BN725" s="1182"/>
      <c r="BO725" s="1060" t="s">
        <v>1654</v>
      </c>
      <c r="BW725" s="1181"/>
    </row>
    <row r="726" spans="51:75">
      <c r="AY726" s="1184"/>
      <c r="AZ726" s="1183" t="s">
        <v>969</v>
      </c>
      <c r="BA726" s="1172">
        <v>3</v>
      </c>
      <c r="BB726" s="1152">
        <v>0.91</v>
      </c>
      <c r="BC726" s="1097">
        <v>7</v>
      </c>
      <c r="BD726" s="1061">
        <v>1000</v>
      </c>
      <c r="BE726" s="1061">
        <v>1500</v>
      </c>
      <c r="BF726" s="1061">
        <v>2000</v>
      </c>
      <c r="BG726" s="1061">
        <v>3000</v>
      </c>
      <c r="BH726" s="1061">
        <v>5000</v>
      </c>
      <c r="BI726" s="1061">
        <v>7000</v>
      </c>
      <c r="BJ726" s="1060" t="s">
        <v>1320</v>
      </c>
      <c r="BL726" s="1060" t="s">
        <v>1333</v>
      </c>
      <c r="BN726" s="1182"/>
      <c r="BO726" s="1060" t="s">
        <v>1653</v>
      </c>
      <c r="BW726" s="1181"/>
    </row>
    <row r="727" spans="51:75">
      <c r="AY727" s="1184"/>
      <c r="AZ727" s="1183" t="s">
        <v>1069</v>
      </c>
      <c r="BA727" s="1172">
        <v>6</v>
      </c>
      <c r="BB727" s="1152">
        <v>1.1000000000000001</v>
      </c>
      <c r="BC727" s="1097">
        <v>5.0999999999999996</v>
      </c>
      <c r="BD727" s="1061">
        <v>7000</v>
      </c>
      <c r="BE727" s="1061">
        <v>9000</v>
      </c>
      <c r="BF727" s="1061">
        <v>11000</v>
      </c>
      <c r="BG727" s="1061">
        <v>15000</v>
      </c>
      <c r="BH727" s="1061">
        <v>18500</v>
      </c>
      <c r="BI727" s="1061">
        <v>22000</v>
      </c>
      <c r="BJ727" s="1060" t="s">
        <v>1320</v>
      </c>
      <c r="BL727" s="1060" t="s">
        <v>1333</v>
      </c>
      <c r="BN727" s="1182"/>
      <c r="BO727" s="1060" t="s">
        <v>1652</v>
      </c>
      <c r="BW727" s="1181"/>
    </row>
    <row r="728" spans="51:75">
      <c r="AY728" s="1184"/>
      <c r="AZ728" s="1183" t="s">
        <v>1070</v>
      </c>
      <c r="BA728" s="1172">
        <v>6</v>
      </c>
      <c r="BB728" s="1152">
        <v>1.1000000000000001</v>
      </c>
      <c r="BC728" s="1097">
        <v>5.0999999999999996</v>
      </c>
      <c r="BD728" s="1061">
        <v>7000</v>
      </c>
      <c r="BE728" s="1061">
        <v>9000</v>
      </c>
      <c r="BF728" s="1061">
        <v>11000</v>
      </c>
      <c r="BG728" s="1061">
        <v>15000</v>
      </c>
      <c r="BH728" s="1061">
        <v>18500</v>
      </c>
      <c r="BI728" s="1061">
        <v>22000</v>
      </c>
      <c r="BJ728" s="1060" t="s">
        <v>1320</v>
      </c>
      <c r="BL728" s="1060" t="s">
        <v>1333</v>
      </c>
      <c r="BN728" s="1182"/>
      <c r="BO728" s="1060" t="s">
        <v>1651</v>
      </c>
      <c r="BW728" s="1181"/>
    </row>
    <row r="729" spans="51:75">
      <c r="AY729" s="1184"/>
      <c r="AZ729" s="1183" t="s">
        <v>1071</v>
      </c>
      <c r="BA729" s="1172">
        <v>6</v>
      </c>
      <c r="BB729" s="1152">
        <v>1.1000000000000001</v>
      </c>
      <c r="BC729" s="1097">
        <v>5.0999999999999996</v>
      </c>
      <c r="BD729" s="1061">
        <v>7000</v>
      </c>
      <c r="BE729" s="1061">
        <v>9000</v>
      </c>
      <c r="BF729" s="1061">
        <v>11000</v>
      </c>
      <c r="BG729" s="1061">
        <v>15000</v>
      </c>
      <c r="BH729" s="1061">
        <v>18500</v>
      </c>
      <c r="BI729" s="1061">
        <v>22000</v>
      </c>
      <c r="BJ729" s="1060" t="s">
        <v>1320</v>
      </c>
      <c r="BL729" s="1060" t="s">
        <v>1333</v>
      </c>
      <c r="BN729" s="1182"/>
      <c r="BO729" s="1060" t="s">
        <v>1650</v>
      </c>
      <c r="BW729" s="1181"/>
    </row>
    <row r="730" spans="51:75">
      <c r="AY730" s="1184"/>
      <c r="AZ730" s="1183" t="s">
        <v>1148</v>
      </c>
      <c r="BA730" s="1172">
        <v>8</v>
      </c>
      <c r="BB730" s="1152">
        <v>2.33</v>
      </c>
      <c r="BC730" s="1097">
        <v>7</v>
      </c>
      <c r="BD730" s="1061">
        <v>3000</v>
      </c>
      <c r="BE730" s="1061">
        <v>4000</v>
      </c>
      <c r="BF730" s="1061">
        <v>5000</v>
      </c>
      <c r="BG730" s="1061">
        <v>8000</v>
      </c>
      <c r="BH730" s="1061">
        <v>11000</v>
      </c>
      <c r="BI730" s="1061">
        <v>14000</v>
      </c>
      <c r="BJ730" s="1060" t="s">
        <v>1320</v>
      </c>
      <c r="BL730" s="1060" t="s">
        <v>1390</v>
      </c>
      <c r="BN730" s="1182"/>
      <c r="BO730" s="1060" t="s">
        <v>1649</v>
      </c>
      <c r="BW730" s="1181"/>
    </row>
    <row r="731" spans="51:75">
      <c r="AY731" s="1184"/>
      <c r="AZ731" s="1183" t="s">
        <v>1033</v>
      </c>
      <c r="BA731" s="1172">
        <v>5</v>
      </c>
      <c r="BB731" s="1152">
        <v>2.0499999999999998</v>
      </c>
      <c r="BC731" s="1097">
        <v>6.5</v>
      </c>
      <c r="BD731" s="1061">
        <v>3000</v>
      </c>
      <c r="BE731" s="1061">
        <v>5000</v>
      </c>
      <c r="BF731" s="1061">
        <v>7000</v>
      </c>
      <c r="BG731" s="1061">
        <v>7000</v>
      </c>
      <c r="BH731" s="1061">
        <v>9000</v>
      </c>
      <c r="BI731" s="1061">
        <v>11000</v>
      </c>
      <c r="BJ731" s="1060" t="s">
        <v>1320</v>
      </c>
      <c r="BL731" s="1060" t="s">
        <v>1333</v>
      </c>
      <c r="BN731" s="1182"/>
      <c r="BO731" s="1060" t="s">
        <v>1648</v>
      </c>
      <c r="BW731" s="1181"/>
    </row>
    <row r="732" spans="51:75">
      <c r="AY732" s="1184"/>
      <c r="AZ732" s="1183" t="s">
        <v>1034</v>
      </c>
      <c r="BA732" s="1172">
        <v>5</v>
      </c>
      <c r="BB732" s="1152">
        <v>2.0499999999999998</v>
      </c>
      <c r="BC732" s="1097">
        <v>6.5</v>
      </c>
      <c r="BD732" s="1061">
        <v>3000</v>
      </c>
      <c r="BE732" s="1061">
        <v>5000</v>
      </c>
      <c r="BF732" s="1061">
        <v>7000</v>
      </c>
      <c r="BG732" s="1061">
        <v>7000</v>
      </c>
      <c r="BH732" s="1061">
        <v>9000</v>
      </c>
      <c r="BI732" s="1061">
        <v>11000</v>
      </c>
      <c r="BJ732" s="1060" t="s">
        <v>1320</v>
      </c>
      <c r="BL732" s="1060" t="s">
        <v>1333</v>
      </c>
      <c r="BN732" s="1182"/>
      <c r="BO732" s="1060" t="s">
        <v>1647</v>
      </c>
      <c r="BW732" s="1181"/>
    </row>
    <row r="733" spans="51:75">
      <c r="AY733" s="1184"/>
      <c r="AZ733" s="1183" t="s">
        <v>1035</v>
      </c>
      <c r="BA733" s="1172">
        <v>5</v>
      </c>
      <c r="BB733" s="1152">
        <v>1.03</v>
      </c>
      <c r="BC733" s="1097">
        <v>6.6</v>
      </c>
      <c r="BD733" s="1061">
        <v>3000</v>
      </c>
      <c r="BE733" s="1061">
        <v>5000</v>
      </c>
      <c r="BF733" s="1061">
        <v>7000</v>
      </c>
      <c r="BG733" s="1061">
        <v>7000</v>
      </c>
      <c r="BH733" s="1061">
        <v>9000</v>
      </c>
      <c r="BI733" s="1061">
        <v>11000</v>
      </c>
      <c r="BJ733" s="1060" t="s">
        <v>1320</v>
      </c>
      <c r="BL733" s="1060" t="s">
        <v>1333</v>
      </c>
      <c r="BN733" s="1182"/>
      <c r="BO733" s="1060" t="s">
        <v>1646</v>
      </c>
      <c r="BW733" s="1181"/>
    </row>
    <row r="734" spans="51:75">
      <c r="AY734" s="1184"/>
      <c r="AZ734" s="1183" t="s">
        <v>1224</v>
      </c>
      <c r="BA734" s="1172">
        <v>11</v>
      </c>
      <c r="BB734" s="1152">
        <v>3.47</v>
      </c>
      <c r="BC734" s="1097">
        <v>4.5</v>
      </c>
      <c r="BD734" s="1061">
        <v>9000</v>
      </c>
      <c r="BE734" s="1061">
        <v>11000</v>
      </c>
      <c r="BF734" s="1061">
        <v>13000</v>
      </c>
      <c r="BG734" s="1061">
        <v>18000</v>
      </c>
      <c r="BH734" s="1061">
        <v>22000</v>
      </c>
      <c r="BI734" s="1061">
        <v>26000</v>
      </c>
      <c r="BJ734" s="1060" t="s">
        <v>1348</v>
      </c>
      <c r="BL734" s="1060" t="s">
        <v>1387</v>
      </c>
      <c r="BN734" s="1182"/>
      <c r="BO734" s="1060" t="s">
        <v>1645</v>
      </c>
      <c r="BW734" s="1181"/>
    </row>
    <row r="735" spans="51:75">
      <c r="AY735" s="1184"/>
      <c r="AZ735" s="1183" t="s">
        <v>1225</v>
      </c>
      <c r="BA735" s="1172">
        <v>11</v>
      </c>
      <c r="BB735" s="1152">
        <v>3.47</v>
      </c>
      <c r="BC735" s="1097">
        <v>4.5</v>
      </c>
      <c r="BD735" s="1061">
        <v>9000</v>
      </c>
      <c r="BE735" s="1061">
        <v>11000</v>
      </c>
      <c r="BF735" s="1061">
        <v>13000</v>
      </c>
      <c r="BG735" s="1061">
        <v>18000</v>
      </c>
      <c r="BH735" s="1061">
        <v>22000</v>
      </c>
      <c r="BI735" s="1061">
        <v>26000</v>
      </c>
      <c r="BJ735" s="1060" t="s">
        <v>1348</v>
      </c>
      <c r="BL735" s="1060" t="s">
        <v>1387</v>
      </c>
      <c r="BN735" s="1182"/>
      <c r="BO735" s="1060" t="s">
        <v>1644</v>
      </c>
      <c r="BW735" s="1181"/>
    </row>
    <row r="736" spans="51:75">
      <c r="AY736" s="1184"/>
      <c r="AZ736" s="1183" t="s">
        <v>1147</v>
      </c>
      <c r="BA736" s="1172">
        <v>8</v>
      </c>
      <c r="BB736" s="1152">
        <v>2.33</v>
      </c>
      <c r="BC736" s="1097">
        <v>7</v>
      </c>
      <c r="BD736" s="1061">
        <v>3000</v>
      </c>
      <c r="BE736" s="1061">
        <v>4000</v>
      </c>
      <c r="BF736" s="1061">
        <v>5000</v>
      </c>
      <c r="BG736" s="1061">
        <v>8000</v>
      </c>
      <c r="BH736" s="1061">
        <v>11000</v>
      </c>
      <c r="BI736" s="1061">
        <v>14000</v>
      </c>
      <c r="BJ736" s="1060" t="s">
        <v>1320</v>
      </c>
      <c r="BL736" s="1060" t="s">
        <v>1390</v>
      </c>
      <c r="BN736" s="1182"/>
      <c r="BO736" s="1060" t="s">
        <v>1643</v>
      </c>
      <c r="BW736" s="1181"/>
    </row>
    <row r="737" spans="51:75">
      <c r="AY737" s="1184"/>
      <c r="AZ737" s="1183" t="s">
        <v>1019</v>
      </c>
      <c r="BA737" s="1172">
        <v>4</v>
      </c>
      <c r="BB737" s="1152">
        <v>9.07</v>
      </c>
      <c r="BC737" s="1097">
        <v>6.7</v>
      </c>
      <c r="BD737" s="1061">
        <v>2000</v>
      </c>
      <c r="BE737" s="1061">
        <v>3000</v>
      </c>
      <c r="BF737" s="1061">
        <v>4000</v>
      </c>
      <c r="BG737" s="1061">
        <v>5000</v>
      </c>
      <c r="BH737" s="1061">
        <v>7000</v>
      </c>
      <c r="BI737" s="1061">
        <v>9000</v>
      </c>
      <c r="BJ737" s="1060" t="s">
        <v>1348</v>
      </c>
      <c r="BL737" s="1060" t="s">
        <v>1324</v>
      </c>
      <c r="BN737" s="1182"/>
      <c r="BO737" s="1060" t="s">
        <v>1642</v>
      </c>
      <c r="BW737" s="1181"/>
    </row>
    <row r="738" spans="51:75">
      <c r="AY738" s="1184"/>
      <c r="AZ738" s="1183" t="s">
        <v>1020</v>
      </c>
      <c r="BA738" s="1172">
        <v>4</v>
      </c>
      <c r="BB738" s="1152">
        <v>9.07</v>
      </c>
      <c r="BC738" s="1097">
        <v>6.7</v>
      </c>
      <c r="BD738" s="1061">
        <v>2000</v>
      </c>
      <c r="BE738" s="1061">
        <v>3000</v>
      </c>
      <c r="BF738" s="1061">
        <v>4000</v>
      </c>
      <c r="BG738" s="1061">
        <v>5000</v>
      </c>
      <c r="BH738" s="1061">
        <v>7000</v>
      </c>
      <c r="BI738" s="1061">
        <v>9000</v>
      </c>
      <c r="BJ738" s="1060" t="s">
        <v>1348</v>
      </c>
      <c r="BL738" s="1060" t="s">
        <v>1324</v>
      </c>
      <c r="BN738" s="1182"/>
      <c r="BO738" s="1060" t="s">
        <v>1641</v>
      </c>
      <c r="BW738" s="1181"/>
    </row>
    <row r="739" spans="51:75">
      <c r="AY739" s="1184"/>
      <c r="AZ739" s="1183" t="s">
        <v>1017</v>
      </c>
      <c r="BA739" s="1172">
        <v>4</v>
      </c>
      <c r="BB739" s="1152">
        <v>9.07</v>
      </c>
      <c r="BC739" s="1097">
        <v>6.7</v>
      </c>
      <c r="BD739" s="1061">
        <v>2000</v>
      </c>
      <c r="BE739" s="1061">
        <v>3000</v>
      </c>
      <c r="BF739" s="1061">
        <v>4000</v>
      </c>
      <c r="BG739" s="1061">
        <v>5000</v>
      </c>
      <c r="BH739" s="1061">
        <v>7000</v>
      </c>
      <c r="BI739" s="1061">
        <v>9000</v>
      </c>
      <c r="BJ739" s="1060" t="s">
        <v>1348</v>
      </c>
      <c r="BL739" s="1060" t="s">
        <v>1324</v>
      </c>
      <c r="BN739" s="1182"/>
      <c r="BO739" s="1060" t="s">
        <v>1640</v>
      </c>
      <c r="BW739" s="1181"/>
    </row>
    <row r="740" spans="51:75">
      <c r="AY740" s="1184"/>
      <c r="AZ740" s="1183" t="s">
        <v>1018</v>
      </c>
      <c r="BA740" s="1172">
        <v>4</v>
      </c>
      <c r="BB740" s="1152">
        <v>9.07</v>
      </c>
      <c r="BC740" s="1097">
        <v>6.7</v>
      </c>
      <c r="BD740" s="1061">
        <v>2000</v>
      </c>
      <c r="BE740" s="1061">
        <v>3000</v>
      </c>
      <c r="BF740" s="1061">
        <v>4000</v>
      </c>
      <c r="BG740" s="1061">
        <v>5000</v>
      </c>
      <c r="BH740" s="1061">
        <v>7000</v>
      </c>
      <c r="BI740" s="1061">
        <v>9000</v>
      </c>
      <c r="BJ740" s="1060" t="s">
        <v>1348</v>
      </c>
      <c r="BL740" s="1060" t="s">
        <v>1324</v>
      </c>
      <c r="BN740" s="1182"/>
      <c r="BO740" s="1060" t="s">
        <v>1639</v>
      </c>
      <c r="BW740" s="1181"/>
    </row>
    <row r="741" spans="51:75">
      <c r="AY741" s="1184"/>
      <c r="AZ741" s="1183" t="s">
        <v>970</v>
      </c>
      <c r="BA741" s="1172">
        <v>3</v>
      </c>
      <c r="BB741" s="1152">
        <v>0.99</v>
      </c>
      <c r="BC741" s="1097">
        <v>5.9</v>
      </c>
      <c r="BD741" s="1061">
        <v>1000</v>
      </c>
      <c r="BE741" s="1061">
        <v>1500</v>
      </c>
      <c r="BF741" s="1061">
        <v>2000</v>
      </c>
      <c r="BG741" s="1061">
        <v>3000</v>
      </c>
      <c r="BH741" s="1061">
        <v>5000</v>
      </c>
      <c r="BI741" s="1061">
        <v>7000</v>
      </c>
      <c r="BJ741" s="1060" t="s">
        <v>1320</v>
      </c>
      <c r="BL741" s="1060" t="s">
        <v>1333</v>
      </c>
      <c r="BN741" s="1182"/>
      <c r="BO741" s="1060" t="s">
        <v>1638</v>
      </c>
      <c r="BW741" s="1181"/>
    </row>
    <row r="742" spans="51:75">
      <c r="AY742" s="1184"/>
      <c r="AZ742" s="1183" t="s">
        <v>971</v>
      </c>
      <c r="BA742" s="1172">
        <v>3</v>
      </c>
      <c r="BB742" s="1152">
        <v>0.99</v>
      </c>
      <c r="BC742" s="1097">
        <v>5.9</v>
      </c>
      <c r="BD742" s="1061">
        <v>1000</v>
      </c>
      <c r="BE742" s="1061">
        <v>1500</v>
      </c>
      <c r="BF742" s="1061">
        <v>2000</v>
      </c>
      <c r="BG742" s="1061">
        <v>3000</v>
      </c>
      <c r="BH742" s="1061">
        <v>5000</v>
      </c>
      <c r="BI742" s="1061">
        <v>7000</v>
      </c>
      <c r="BJ742" s="1060" t="s">
        <v>1320</v>
      </c>
      <c r="BL742" s="1060" t="s">
        <v>1333</v>
      </c>
      <c r="BN742" s="1182"/>
      <c r="BO742" s="1060" t="s">
        <v>1637</v>
      </c>
      <c r="BW742" s="1181"/>
    </row>
    <row r="743" spans="51:75">
      <c r="AY743" s="1184"/>
      <c r="AZ743" s="1183" t="s">
        <v>972</v>
      </c>
      <c r="BA743" s="1172">
        <v>3</v>
      </c>
      <c r="BB743" s="1152">
        <v>0.99</v>
      </c>
      <c r="BC743" s="1097">
        <v>5.9</v>
      </c>
      <c r="BD743" s="1061">
        <v>1000</v>
      </c>
      <c r="BE743" s="1061">
        <v>1500</v>
      </c>
      <c r="BF743" s="1061">
        <v>2000</v>
      </c>
      <c r="BG743" s="1061">
        <v>3000</v>
      </c>
      <c r="BH743" s="1061">
        <v>5000</v>
      </c>
      <c r="BI743" s="1061">
        <v>7000</v>
      </c>
      <c r="BJ743" s="1060" t="s">
        <v>1320</v>
      </c>
      <c r="BL743" s="1060" t="s">
        <v>1333</v>
      </c>
      <c r="BN743" s="1182"/>
      <c r="BO743" s="1060" t="s">
        <v>1636</v>
      </c>
      <c r="BW743" s="1181"/>
    </row>
    <row r="744" spans="51:75">
      <c r="AY744" s="1184"/>
      <c r="AZ744" s="1183" t="s">
        <v>1230</v>
      </c>
      <c r="BA744" s="1172">
        <v>12</v>
      </c>
      <c r="BB744" s="1152">
        <v>1.69</v>
      </c>
      <c r="BC744" s="1097">
        <v>4.8</v>
      </c>
      <c r="BD744" s="1061">
        <v>2200</v>
      </c>
      <c r="BE744" s="1061">
        <v>2850</v>
      </c>
      <c r="BF744" s="1061">
        <v>3500</v>
      </c>
      <c r="BG744" s="1061">
        <v>4200</v>
      </c>
      <c r="BH744" s="1061">
        <v>6100</v>
      </c>
      <c r="BI744" s="1061">
        <v>8000</v>
      </c>
      <c r="BJ744" s="1060" t="s">
        <v>1348</v>
      </c>
      <c r="BL744" s="1060" t="s">
        <v>1390</v>
      </c>
      <c r="BN744" s="1182"/>
      <c r="BO744" s="1060" t="s">
        <v>1635</v>
      </c>
      <c r="BW744" s="1181"/>
    </row>
    <row r="745" spans="51:75">
      <c r="AY745" s="1184"/>
      <c r="AZ745" s="1183" t="s">
        <v>973</v>
      </c>
      <c r="BA745" s="1172">
        <v>3</v>
      </c>
      <c r="BB745" s="1152">
        <v>0.84</v>
      </c>
      <c r="BC745" s="1097">
        <v>6</v>
      </c>
      <c r="BD745" s="1061">
        <v>1000</v>
      </c>
      <c r="BE745" s="1061">
        <v>1500</v>
      </c>
      <c r="BF745" s="1061">
        <v>2000</v>
      </c>
      <c r="BG745" s="1061">
        <v>3000</v>
      </c>
      <c r="BH745" s="1061">
        <v>5000</v>
      </c>
      <c r="BI745" s="1061">
        <v>7000</v>
      </c>
      <c r="BJ745" s="1060" t="s">
        <v>1320</v>
      </c>
      <c r="BL745" s="1060" t="s">
        <v>1333</v>
      </c>
      <c r="BN745" s="1182"/>
      <c r="BO745" s="1060" t="s">
        <v>1634</v>
      </c>
      <c r="BW745" s="1181"/>
    </row>
    <row r="746" spans="51:75">
      <c r="AY746" s="1184"/>
      <c r="AZ746" s="1183" t="s">
        <v>974</v>
      </c>
      <c r="BA746" s="1172">
        <v>3</v>
      </c>
      <c r="BB746" s="1152">
        <v>0.84</v>
      </c>
      <c r="BC746" s="1097">
        <v>6</v>
      </c>
      <c r="BD746" s="1061">
        <v>1000</v>
      </c>
      <c r="BE746" s="1061">
        <v>1500</v>
      </c>
      <c r="BF746" s="1061">
        <v>2000</v>
      </c>
      <c r="BG746" s="1061">
        <v>3000</v>
      </c>
      <c r="BH746" s="1061">
        <v>5000</v>
      </c>
      <c r="BI746" s="1061">
        <v>7000</v>
      </c>
      <c r="BJ746" s="1060" t="s">
        <v>1320</v>
      </c>
      <c r="BL746" s="1060" t="s">
        <v>1324</v>
      </c>
      <c r="BN746" s="1182"/>
      <c r="BO746" s="1060" t="s">
        <v>1633</v>
      </c>
      <c r="BW746" s="1181"/>
    </row>
    <row r="747" spans="51:75">
      <c r="AY747" s="1184"/>
      <c r="AZ747" s="1183" t="s">
        <v>975</v>
      </c>
      <c r="BA747" s="1172">
        <v>3</v>
      </c>
      <c r="BB747" s="1152">
        <v>0.82</v>
      </c>
      <c r="BC747" s="1097">
        <v>6</v>
      </c>
      <c r="BD747" s="1061">
        <v>1000</v>
      </c>
      <c r="BE747" s="1061">
        <v>1500</v>
      </c>
      <c r="BF747" s="1061">
        <v>2000</v>
      </c>
      <c r="BG747" s="1061">
        <v>3000</v>
      </c>
      <c r="BH747" s="1061">
        <v>5000</v>
      </c>
      <c r="BI747" s="1061">
        <v>7000</v>
      </c>
      <c r="BJ747" s="1060" t="s">
        <v>1320</v>
      </c>
      <c r="BL747" s="1060" t="s">
        <v>1333</v>
      </c>
      <c r="BN747" s="1182"/>
      <c r="BO747" s="1060" t="s">
        <v>1632</v>
      </c>
      <c r="BW747" s="1181"/>
    </row>
    <row r="748" spans="51:75">
      <c r="AY748" s="1184"/>
      <c r="AZ748" s="1183" t="s">
        <v>976</v>
      </c>
      <c r="BA748" s="1172">
        <v>3</v>
      </c>
      <c r="BB748" s="1152">
        <v>0.84</v>
      </c>
      <c r="BC748" s="1097">
        <v>6</v>
      </c>
      <c r="BD748" s="1061">
        <v>1000</v>
      </c>
      <c r="BE748" s="1061">
        <v>1500</v>
      </c>
      <c r="BF748" s="1061">
        <v>2000</v>
      </c>
      <c r="BG748" s="1061">
        <v>3000</v>
      </c>
      <c r="BH748" s="1061">
        <v>5000</v>
      </c>
      <c r="BI748" s="1061">
        <v>7000</v>
      </c>
      <c r="BJ748" s="1060" t="s">
        <v>1320</v>
      </c>
      <c r="BL748" s="1060" t="s">
        <v>1324</v>
      </c>
      <c r="BN748" s="1182"/>
      <c r="BO748" s="1060" t="s">
        <v>1631</v>
      </c>
      <c r="BW748" s="1181"/>
    </row>
    <row r="749" spans="51:75">
      <c r="AY749" s="1184"/>
      <c r="AZ749" s="1183" t="s">
        <v>977</v>
      </c>
      <c r="BA749" s="1172">
        <v>3</v>
      </c>
      <c r="BB749" s="1152">
        <v>0.82</v>
      </c>
      <c r="BC749" s="1097">
        <v>6</v>
      </c>
      <c r="BD749" s="1061">
        <v>1000</v>
      </c>
      <c r="BE749" s="1061">
        <v>1500</v>
      </c>
      <c r="BF749" s="1061">
        <v>2000</v>
      </c>
      <c r="BG749" s="1061">
        <v>3000</v>
      </c>
      <c r="BH749" s="1061">
        <v>5000</v>
      </c>
      <c r="BI749" s="1061">
        <v>7000</v>
      </c>
      <c r="BJ749" s="1060" t="s">
        <v>1320</v>
      </c>
      <c r="BL749" s="1060" t="s">
        <v>1333</v>
      </c>
      <c r="BN749" s="1182"/>
      <c r="BO749" s="1060" t="s">
        <v>1630</v>
      </c>
      <c r="BW749" s="1181"/>
    </row>
    <row r="750" spans="51:75">
      <c r="AY750" s="1184"/>
      <c r="AZ750" s="1183" t="s">
        <v>978</v>
      </c>
      <c r="BA750" s="1172">
        <v>3</v>
      </c>
      <c r="BB750" s="1152">
        <v>1.34</v>
      </c>
      <c r="BC750" s="1097">
        <v>6.3</v>
      </c>
      <c r="BD750" s="1061">
        <v>1000</v>
      </c>
      <c r="BE750" s="1061">
        <v>1500</v>
      </c>
      <c r="BF750" s="1061">
        <v>2000</v>
      </c>
      <c r="BG750" s="1061">
        <v>3000</v>
      </c>
      <c r="BH750" s="1061">
        <v>5000</v>
      </c>
      <c r="BI750" s="1061">
        <v>7000</v>
      </c>
      <c r="BJ750" s="1060" t="s">
        <v>1320</v>
      </c>
      <c r="BL750" s="1060" t="s">
        <v>1324</v>
      </c>
      <c r="BN750" s="1182"/>
      <c r="BO750" s="1060" t="s">
        <v>1629</v>
      </c>
      <c r="BW750" s="1181"/>
    </row>
    <row r="751" spans="51:75">
      <c r="AY751" s="1184"/>
      <c r="AZ751" s="1183" t="s">
        <v>1628</v>
      </c>
      <c r="BB751" s="1152">
        <v>0.82</v>
      </c>
      <c r="BC751" s="1097">
        <v>6</v>
      </c>
      <c r="BJ751" s="1060" t="s">
        <v>1320</v>
      </c>
      <c r="BL751" s="1060" t="s">
        <v>1333</v>
      </c>
      <c r="BN751" s="1182"/>
      <c r="BO751" s="1060" t="s">
        <v>1627</v>
      </c>
      <c r="BW751" s="1181"/>
    </row>
    <row r="752" spans="51:75">
      <c r="AY752" s="1184"/>
      <c r="AZ752" s="1183" t="s">
        <v>979</v>
      </c>
      <c r="BA752" s="1172">
        <v>3</v>
      </c>
      <c r="BB752" s="1152">
        <v>0.82</v>
      </c>
      <c r="BC752" s="1097">
        <v>6</v>
      </c>
      <c r="BD752" s="1061">
        <v>1000</v>
      </c>
      <c r="BE752" s="1061">
        <v>1500</v>
      </c>
      <c r="BF752" s="1061">
        <v>2000</v>
      </c>
      <c r="BG752" s="1061">
        <v>3000</v>
      </c>
      <c r="BH752" s="1061">
        <v>5000</v>
      </c>
      <c r="BI752" s="1061">
        <v>7000</v>
      </c>
      <c r="BJ752" s="1060" t="s">
        <v>1320</v>
      </c>
      <c r="BL752" s="1060" t="s">
        <v>1333</v>
      </c>
      <c r="BN752" s="1182"/>
      <c r="BO752" s="1060" t="s">
        <v>1626</v>
      </c>
      <c r="BW752" s="1181"/>
    </row>
    <row r="753" spans="51:75">
      <c r="AY753" s="1184"/>
      <c r="AZ753" s="1183" t="s">
        <v>1149</v>
      </c>
      <c r="BA753" s="1172">
        <v>8</v>
      </c>
      <c r="BB753" s="1152">
        <v>2.64</v>
      </c>
      <c r="BC753" s="1097">
        <v>5.8</v>
      </c>
      <c r="BD753" s="1061">
        <v>3000</v>
      </c>
      <c r="BE753" s="1061">
        <v>4000</v>
      </c>
      <c r="BF753" s="1061">
        <v>5000</v>
      </c>
      <c r="BG753" s="1061">
        <v>8000</v>
      </c>
      <c r="BH753" s="1061">
        <v>11000</v>
      </c>
      <c r="BI753" s="1061">
        <v>14000</v>
      </c>
      <c r="BJ753" s="1060" t="s">
        <v>1320</v>
      </c>
      <c r="BL753" s="1060" t="s">
        <v>1390</v>
      </c>
      <c r="BN753" s="1182"/>
      <c r="BO753" s="1060" t="s">
        <v>1625</v>
      </c>
      <c r="BW753" s="1181"/>
    </row>
    <row r="754" spans="51:75">
      <c r="AY754" s="1184"/>
      <c r="AZ754" s="1183" t="s">
        <v>1150</v>
      </c>
      <c r="BA754" s="1172">
        <v>8</v>
      </c>
      <c r="BB754" s="1152">
        <v>2.64</v>
      </c>
      <c r="BC754" s="1097">
        <v>5.8</v>
      </c>
      <c r="BD754" s="1061">
        <v>3000</v>
      </c>
      <c r="BE754" s="1061">
        <v>4000</v>
      </c>
      <c r="BF754" s="1061">
        <v>5000</v>
      </c>
      <c r="BG754" s="1061">
        <v>8000</v>
      </c>
      <c r="BH754" s="1061">
        <v>11000</v>
      </c>
      <c r="BI754" s="1061">
        <v>14000</v>
      </c>
      <c r="BJ754" s="1060" t="s">
        <v>1320</v>
      </c>
      <c r="BL754" s="1060" t="s">
        <v>1390</v>
      </c>
      <c r="BN754" s="1182"/>
      <c r="BO754" s="1060" t="s">
        <v>1624</v>
      </c>
      <c r="BW754" s="1181"/>
    </row>
    <row r="755" spans="51:75">
      <c r="AY755" s="1184"/>
      <c r="AZ755" s="1183" t="s">
        <v>1151</v>
      </c>
      <c r="BA755" s="1172">
        <v>8</v>
      </c>
      <c r="BB755" s="1152">
        <v>2.64</v>
      </c>
      <c r="BC755" s="1097">
        <v>5.8</v>
      </c>
      <c r="BD755" s="1061">
        <v>3000</v>
      </c>
      <c r="BE755" s="1061">
        <v>4000</v>
      </c>
      <c r="BF755" s="1061">
        <v>5000</v>
      </c>
      <c r="BG755" s="1061">
        <v>8000</v>
      </c>
      <c r="BH755" s="1061">
        <v>11000</v>
      </c>
      <c r="BI755" s="1061">
        <v>14000</v>
      </c>
      <c r="BJ755" s="1060" t="s">
        <v>1320</v>
      </c>
      <c r="BL755" s="1060" t="s">
        <v>1390</v>
      </c>
      <c r="BN755" s="1182"/>
      <c r="BO755" s="1060" t="s">
        <v>1623</v>
      </c>
      <c r="BW755" s="1181"/>
    </row>
    <row r="756" spans="51:75">
      <c r="AY756" s="1184"/>
      <c r="AZ756" s="1183" t="s">
        <v>1152</v>
      </c>
      <c r="BA756" s="1172">
        <v>8</v>
      </c>
      <c r="BB756" s="1152">
        <v>3.27</v>
      </c>
      <c r="BC756" s="1097">
        <v>4</v>
      </c>
      <c r="BD756" s="1061">
        <v>3000</v>
      </c>
      <c r="BE756" s="1061">
        <v>4000</v>
      </c>
      <c r="BF756" s="1061">
        <v>5000</v>
      </c>
      <c r="BG756" s="1061">
        <v>8000</v>
      </c>
      <c r="BH756" s="1061">
        <v>11000</v>
      </c>
      <c r="BI756" s="1061">
        <v>14000</v>
      </c>
      <c r="BJ756" s="1060" t="s">
        <v>1348</v>
      </c>
      <c r="BL756" s="1060" t="s">
        <v>1333</v>
      </c>
      <c r="BN756" s="1182"/>
      <c r="BO756" s="1060" t="s">
        <v>1622</v>
      </c>
      <c r="BW756" s="1181"/>
    </row>
    <row r="757" spans="51:75">
      <c r="AY757" s="1184"/>
      <c r="AZ757" s="1183" t="s">
        <v>1153</v>
      </c>
      <c r="BA757" s="1172">
        <v>8</v>
      </c>
      <c r="BB757" s="1152">
        <v>3.27</v>
      </c>
      <c r="BC757" s="1097">
        <v>4</v>
      </c>
      <c r="BD757" s="1061">
        <v>3000</v>
      </c>
      <c r="BE757" s="1061">
        <v>4000</v>
      </c>
      <c r="BF757" s="1061">
        <v>5000</v>
      </c>
      <c r="BG757" s="1061">
        <v>8000</v>
      </c>
      <c r="BH757" s="1061">
        <v>11000</v>
      </c>
      <c r="BI757" s="1061">
        <v>14000</v>
      </c>
      <c r="BJ757" s="1060" t="s">
        <v>1348</v>
      </c>
      <c r="BL757" s="1060" t="s">
        <v>1333</v>
      </c>
      <c r="BN757" s="1182"/>
      <c r="BO757" s="1060" t="s">
        <v>1621</v>
      </c>
      <c r="BW757" s="1181"/>
    </row>
    <row r="758" spans="51:75">
      <c r="AY758" s="1184"/>
      <c r="AZ758" s="1183" t="s">
        <v>1036</v>
      </c>
      <c r="BA758" s="1172">
        <v>5</v>
      </c>
      <c r="BB758" s="1152">
        <v>1.91</v>
      </c>
      <c r="BC758" s="1097">
        <v>6.5</v>
      </c>
      <c r="BD758" s="1061">
        <v>3000</v>
      </c>
      <c r="BE758" s="1061">
        <v>5000</v>
      </c>
      <c r="BF758" s="1061">
        <v>7000</v>
      </c>
      <c r="BG758" s="1061">
        <v>7000</v>
      </c>
      <c r="BH758" s="1061">
        <v>9000</v>
      </c>
      <c r="BI758" s="1061">
        <v>11000</v>
      </c>
      <c r="BJ758" s="1060" t="s">
        <v>1320</v>
      </c>
      <c r="BL758" s="1060" t="s">
        <v>1333</v>
      </c>
      <c r="BN758" s="1182"/>
      <c r="BO758" s="1060" t="s">
        <v>1620</v>
      </c>
      <c r="BW758" s="1181"/>
    </row>
    <row r="759" spans="51:75">
      <c r="AY759" s="1184"/>
      <c r="AZ759" s="1183" t="s">
        <v>1037</v>
      </c>
      <c r="BA759" s="1172">
        <v>5</v>
      </c>
      <c r="BB759" s="1152">
        <v>1.91</v>
      </c>
      <c r="BC759" s="1097">
        <v>6.5</v>
      </c>
      <c r="BD759" s="1061">
        <v>3000</v>
      </c>
      <c r="BE759" s="1061">
        <v>5000</v>
      </c>
      <c r="BF759" s="1061">
        <v>7000</v>
      </c>
      <c r="BG759" s="1061">
        <v>7000</v>
      </c>
      <c r="BH759" s="1061">
        <v>9000</v>
      </c>
      <c r="BI759" s="1061">
        <v>11000</v>
      </c>
      <c r="BJ759" s="1060" t="s">
        <v>1320</v>
      </c>
      <c r="BL759" s="1060" t="s">
        <v>1333</v>
      </c>
      <c r="BN759" s="1182"/>
      <c r="BO759" s="1060" t="s">
        <v>1619</v>
      </c>
      <c r="BW759" s="1181"/>
    </row>
    <row r="760" spans="51:75">
      <c r="AY760" s="1184"/>
      <c r="AZ760" s="1183" t="s">
        <v>1038</v>
      </c>
      <c r="BA760" s="1172">
        <v>5</v>
      </c>
      <c r="BB760" s="1152">
        <v>1.91</v>
      </c>
      <c r="BC760" s="1097">
        <v>6.5</v>
      </c>
      <c r="BD760" s="1061">
        <v>3000</v>
      </c>
      <c r="BE760" s="1061">
        <v>5000</v>
      </c>
      <c r="BF760" s="1061">
        <v>7000</v>
      </c>
      <c r="BG760" s="1061">
        <v>7000</v>
      </c>
      <c r="BH760" s="1061">
        <v>9000</v>
      </c>
      <c r="BI760" s="1061">
        <v>11000</v>
      </c>
      <c r="BJ760" s="1060" t="s">
        <v>1320</v>
      </c>
      <c r="BL760" s="1060" t="s">
        <v>1333</v>
      </c>
      <c r="BN760" s="1182"/>
      <c r="BO760" s="1060" t="s">
        <v>1618</v>
      </c>
      <c r="BW760" s="1181"/>
    </row>
    <row r="761" spans="51:75">
      <c r="AY761" s="1184"/>
      <c r="AZ761" s="1183" t="s">
        <v>1039</v>
      </c>
      <c r="BA761" s="1172">
        <v>5</v>
      </c>
      <c r="BB761" s="1152">
        <v>1.66</v>
      </c>
      <c r="BC761" s="1097">
        <v>6.5</v>
      </c>
      <c r="BD761" s="1061">
        <v>3000</v>
      </c>
      <c r="BE761" s="1061">
        <v>5000</v>
      </c>
      <c r="BF761" s="1061">
        <v>7000</v>
      </c>
      <c r="BG761" s="1061">
        <v>7000</v>
      </c>
      <c r="BH761" s="1061">
        <v>9000</v>
      </c>
      <c r="BI761" s="1061">
        <v>11000</v>
      </c>
      <c r="BJ761" s="1060" t="s">
        <v>1320</v>
      </c>
      <c r="BL761" s="1060" t="s">
        <v>1333</v>
      </c>
      <c r="BN761" s="1182"/>
      <c r="BO761" s="1060" t="s">
        <v>1617</v>
      </c>
      <c r="BW761" s="1181"/>
    </row>
    <row r="762" spans="51:75">
      <c r="AY762" s="1184"/>
      <c r="AZ762" s="1183" t="s">
        <v>1616</v>
      </c>
      <c r="BA762" s="1172">
        <v>5</v>
      </c>
      <c r="BB762" s="1152">
        <v>1.91</v>
      </c>
      <c r="BC762" s="1097">
        <v>6.5</v>
      </c>
      <c r="BD762" s="1061">
        <v>3000</v>
      </c>
      <c r="BE762" s="1061">
        <v>5000</v>
      </c>
      <c r="BF762" s="1061">
        <v>7000</v>
      </c>
      <c r="BG762" s="1061">
        <v>7000</v>
      </c>
      <c r="BH762" s="1061">
        <v>9000</v>
      </c>
      <c r="BI762" s="1061">
        <v>11000</v>
      </c>
      <c r="BJ762" s="1060" t="s">
        <v>1320</v>
      </c>
      <c r="BL762" s="1060" t="s">
        <v>1333</v>
      </c>
      <c r="BN762" s="1182"/>
      <c r="BO762" s="1060" t="s">
        <v>1615</v>
      </c>
      <c r="BW762" s="1181"/>
    </row>
    <row r="763" spans="51:75">
      <c r="AY763" s="1184"/>
      <c r="AZ763" s="1183" t="s">
        <v>1614</v>
      </c>
      <c r="BA763" s="1172">
        <v>5</v>
      </c>
      <c r="BB763" s="1152">
        <v>1.91</v>
      </c>
      <c r="BC763" s="1097">
        <v>6.5</v>
      </c>
      <c r="BD763" s="1061">
        <v>3000</v>
      </c>
      <c r="BE763" s="1061">
        <v>5000</v>
      </c>
      <c r="BF763" s="1061">
        <v>7000</v>
      </c>
      <c r="BG763" s="1061">
        <v>7000</v>
      </c>
      <c r="BH763" s="1061">
        <v>9000</v>
      </c>
      <c r="BI763" s="1061">
        <v>11000</v>
      </c>
      <c r="BJ763" s="1060" t="s">
        <v>1320</v>
      </c>
      <c r="BL763" s="1060" t="s">
        <v>1333</v>
      </c>
      <c r="BN763" s="1182"/>
      <c r="BO763" s="1060" t="s">
        <v>1613</v>
      </c>
      <c r="BW763" s="1181"/>
    </row>
    <row r="764" spans="51:75">
      <c r="AY764" s="1184"/>
      <c r="AZ764" s="1183" t="s">
        <v>1238</v>
      </c>
      <c r="BA764" s="1172">
        <v>13</v>
      </c>
      <c r="BB764" s="1152">
        <v>4.1900000000000004</v>
      </c>
      <c r="BC764" s="1097">
        <v>5.6</v>
      </c>
      <c r="BD764" s="1061">
        <v>3000</v>
      </c>
      <c r="BE764" s="1061">
        <v>4000</v>
      </c>
      <c r="BF764" s="1061">
        <v>10000</v>
      </c>
      <c r="BG764" s="1061">
        <v>6000</v>
      </c>
      <c r="BH764" s="1061">
        <v>8000</v>
      </c>
      <c r="BI764" s="1061">
        <v>10000</v>
      </c>
      <c r="BJ764" s="1060" t="s">
        <v>1382</v>
      </c>
      <c r="BL764" s="1060" t="s">
        <v>1324</v>
      </c>
      <c r="BN764" s="1182"/>
      <c r="BO764" s="1060" t="s">
        <v>1612</v>
      </c>
      <c r="BW764" s="1181"/>
    </row>
    <row r="765" spans="51:75">
      <c r="AY765" s="1184"/>
      <c r="AZ765" s="1183" t="s">
        <v>1239</v>
      </c>
      <c r="BA765" s="1172">
        <v>13</v>
      </c>
      <c r="BB765" s="1152">
        <v>4.1900000000000004</v>
      </c>
      <c r="BC765" s="1097">
        <v>5.6</v>
      </c>
      <c r="BD765" s="1061">
        <v>3000</v>
      </c>
      <c r="BE765" s="1061">
        <v>4000</v>
      </c>
      <c r="BF765" s="1061">
        <v>10000</v>
      </c>
      <c r="BG765" s="1061">
        <v>6000</v>
      </c>
      <c r="BH765" s="1061">
        <v>8000</v>
      </c>
      <c r="BI765" s="1061">
        <v>10000</v>
      </c>
      <c r="BJ765" s="1060" t="s">
        <v>1382</v>
      </c>
      <c r="BL765" s="1060" t="s">
        <v>1324</v>
      </c>
      <c r="BN765" s="1182"/>
      <c r="BO765" s="1060" t="s">
        <v>1611</v>
      </c>
      <c r="BW765" s="1181"/>
    </row>
    <row r="766" spans="51:75">
      <c r="AY766" s="1184"/>
      <c r="AZ766" s="1183" t="s">
        <v>1240</v>
      </c>
      <c r="BA766" s="1172">
        <v>13</v>
      </c>
      <c r="BB766" s="1152">
        <v>3.86</v>
      </c>
      <c r="BC766" s="1097">
        <v>5.6</v>
      </c>
      <c r="BD766" s="1061">
        <v>3000</v>
      </c>
      <c r="BE766" s="1061">
        <v>4000</v>
      </c>
      <c r="BF766" s="1061">
        <v>10000</v>
      </c>
      <c r="BG766" s="1061">
        <v>6000</v>
      </c>
      <c r="BH766" s="1061">
        <v>8000</v>
      </c>
      <c r="BI766" s="1061">
        <v>10000</v>
      </c>
      <c r="BJ766" s="1060" t="s">
        <v>1382</v>
      </c>
      <c r="BL766" s="1060" t="s">
        <v>1324</v>
      </c>
      <c r="BN766" s="1182"/>
      <c r="BO766" s="1060" t="s">
        <v>1610</v>
      </c>
      <c r="BW766" s="1181"/>
    </row>
    <row r="767" spans="51:75">
      <c r="AY767" s="1184"/>
      <c r="AZ767" s="1183" t="s">
        <v>1154</v>
      </c>
      <c r="BA767" s="1172">
        <v>8</v>
      </c>
      <c r="BB767" s="1152">
        <v>2.5299999999999998</v>
      </c>
      <c r="BC767" s="1097">
        <v>4.5</v>
      </c>
      <c r="BD767" s="1061">
        <v>3000</v>
      </c>
      <c r="BE767" s="1061">
        <v>4000</v>
      </c>
      <c r="BF767" s="1061">
        <v>5000</v>
      </c>
      <c r="BG767" s="1061">
        <v>8000</v>
      </c>
      <c r="BH767" s="1061">
        <v>11000</v>
      </c>
      <c r="BI767" s="1061">
        <v>14000</v>
      </c>
      <c r="BJ767" s="1060" t="s">
        <v>1320</v>
      </c>
      <c r="BL767" s="1060" t="s">
        <v>1605</v>
      </c>
      <c r="BN767" s="1182"/>
      <c r="BO767" s="1060" t="s">
        <v>1609</v>
      </c>
      <c r="BW767" s="1181"/>
    </row>
    <row r="768" spans="51:75">
      <c r="AY768" s="1184"/>
      <c r="AZ768" s="1183" t="s">
        <v>1155</v>
      </c>
      <c r="BA768" s="1172">
        <v>8</v>
      </c>
      <c r="BB768" s="1152">
        <v>2.5299999999999998</v>
      </c>
      <c r="BC768" s="1097">
        <v>4.5</v>
      </c>
      <c r="BD768" s="1061">
        <v>3000</v>
      </c>
      <c r="BE768" s="1061">
        <v>4000</v>
      </c>
      <c r="BF768" s="1061">
        <v>5000</v>
      </c>
      <c r="BG768" s="1061">
        <v>8000</v>
      </c>
      <c r="BH768" s="1061">
        <v>11000</v>
      </c>
      <c r="BI768" s="1061">
        <v>14000</v>
      </c>
      <c r="BJ768" s="1060" t="s">
        <v>1320</v>
      </c>
      <c r="BL768" s="1060" t="s">
        <v>1605</v>
      </c>
      <c r="BN768" s="1182"/>
      <c r="BO768" s="1060" t="s">
        <v>1608</v>
      </c>
      <c r="BW768" s="1181"/>
    </row>
    <row r="769" spans="51:75">
      <c r="AY769" s="1184"/>
      <c r="AZ769" s="1183" t="s">
        <v>1156</v>
      </c>
      <c r="BA769" s="1172">
        <v>8</v>
      </c>
      <c r="BB769" s="1152">
        <v>2.5299999999999998</v>
      </c>
      <c r="BC769" s="1097">
        <v>4.5</v>
      </c>
      <c r="BD769" s="1061">
        <v>3000</v>
      </c>
      <c r="BE769" s="1061">
        <v>4000</v>
      </c>
      <c r="BF769" s="1061">
        <v>5000</v>
      </c>
      <c r="BG769" s="1061">
        <v>8000</v>
      </c>
      <c r="BH769" s="1061">
        <v>11000</v>
      </c>
      <c r="BI769" s="1061">
        <v>14000</v>
      </c>
      <c r="BJ769" s="1060" t="s">
        <v>1320</v>
      </c>
      <c r="BL769" s="1060" t="s">
        <v>1605</v>
      </c>
      <c r="BN769" s="1182"/>
      <c r="BO769" s="1060" t="s">
        <v>1607</v>
      </c>
      <c r="BW769" s="1181"/>
    </row>
    <row r="770" spans="51:75">
      <c r="AY770" s="1184"/>
      <c r="AZ770" s="1183" t="s">
        <v>1157</v>
      </c>
      <c r="BA770" s="1172">
        <v>8</v>
      </c>
      <c r="BB770" s="1152">
        <v>2.5299999999999998</v>
      </c>
      <c r="BC770" s="1097">
        <v>4.5</v>
      </c>
      <c r="BD770" s="1061">
        <v>3000</v>
      </c>
      <c r="BE770" s="1061">
        <v>4000</v>
      </c>
      <c r="BF770" s="1061">
        <v>5000</v>
      </c>
      <c r="BG770" s="1061">
        <v>8000</v>
      </c>
      <c r="BH770" s="1061">
        <v>11000</v>
      </c>
      <c r="BI770" s="1061">
        <v>14000</v>
      </c>
      <c r="BJ770" s="1060" t="s">
        <v>1320</v>
      </c>
      <c r="BL770" s="1060" t="s">
        <v>1605</v>
      </c>
      <c r="BN770" s="1182"/>
      <c r="BO770" s="1060" t="s">
        <v>1606</v>
      </c>
      <c r="BW770" s="1181"/>
    </row>
    <row r="771" spans="51:75">
      <c r="AY771" s="1184"/>
      <c r="AZ771" s="1183" t="s">
        <v>1158</v>
      </c>
      <c r="BA771" s="1172">
        <v>8</v>
      </c>
      <c r="BB771" s="1152">
        <v>2.5299999999999998</v>
      </c>
      <c r="BC771" s="1097">
        <v>4.5</v>
      </c>
      <c r="BD771" s="1061">
        <v>3000</v>
      </c>
      <c r="BE771" s="1061">
        <v>4000</v>
      </c>
      <c r="BF771" s="1061">
        <v>5000</v>
      </c>
      <c r="BG771" s="1061">
        <v>8000</v>
      </c>
      <c r="BH771" s="1061">
        <v>11000</v>
      </c>
      <c r="BI771" s="1061">
        <v>14000</v>
      </c>
      <c r="BJ771" s="1060" t="s">
        <v>1320</v>
      </c>
      <c r="BL771" s="1060" t="s">
        <v>1605</v>
      </c>
      <c r="BN771" s="1182"/>
      <c r="BO771" s="1060" t="s">
        <v>1604</v>
      </c>
      <c r="BW771" s="1181"/>
    </row>
    <row r="772" spans="51:75">
      <c r="AY772" s="1184"/>
      <c r="AZ772" s="1183" t="s">
        <v>861</v>
      </c>
      <c r="BA772" s="1172">
        <v>2</v>
      </c>
      <c r="BB772" s="1152">
        <v>0.62</v>
      </c>
      <c r="BC772" s="1097">
        <v>6.6</v>
      </c>
      <c r="BD772" s="1061">
        <v>700</v>
      </c>
      <c r="BE772" s="1061">
        <v>1200</v>
      </c>
      <c r="BF772" s="1061">
        <v>1700</v>
      </c>
      <c r="BG772" s="1061">
        <v>2000</v>
      </c>
      <c r="BH772" s="1061">
        <v>2500</v>
      </c>
      <c r="BI772" s="1061">
        <v>3000</v>
      </c>
      <c r="BJ772" s="1060" t="s">
        <v>1320</v>
      </c>
      <c r="BL772" s="1060" t="s">
        <v>1329</v>
      </c>
      <c r="BN772" s="1182"/>
      <c r="BO772" s="1060" t="s">
        <v>1603</v>
      </c>
      <c r="BW772" s="1181"/>
    </row>
    <row r="773" spans="51:75">
      <c r="AY773" s="1184"/>
      <c r="AZ773" s="1183" t="s">
        <v>855</v>
      </c>
      <c r="BA773" s="1172">
        <v>2</v>
      </c>
      <c r="BB773" s="1152">
        <v>0.62</v>
      </c>
      <c r="BC773" s="1097">
        <v>6.6</v>
      </c>
      <c r="BD773" s="1061">
        <v>700</v>
      </c>
      <c r="BE773" s="1061">
        <v>1200</v>
      </c>
      <c r="BF773" s="1061">
        <v>1700</v>
      </c>
      <c r="BG773" s="1061">
        <v>2000</v>
      </c>
      <c r="BH773" s="1061">
        <v>2500</v>
      </c>
      <c r="BI773" s="1061">
        <v>3000</v>
      </c>
      <c r="BJ773" s="1060" t="s">
        <v>1320</v>
      </c>
      <c r="BL773" s="1060" t="s">
        <v>1329</v>
      </c>
      <c r="BN773" s="1182"/>
      <c r="BO773" s="1060" t="s">
        <v>1602</v>
      </c>
      <c r="BW773" s="1181"/>
    </row>
    <row r="774" spans="51:75">
      <c r="AY774" s="1184"/>
      <c r="AZ774" s="1183" t="s">
        <v>856</v>
      </c>
      <c r="BA774" s="1172">
        <v>2</v>
      </c>
      <c r="BB774" s="1152">
        <v>0.62</v>
      </c>
      <c r="BC774" s="1097">
        <v>6.6</v>
      </c>
      <c r="BD774" s="1061">
        <v>700</v>
      </c>
      <c r="BE774" s="1061">
        <v>1200</v>
      </c>
      <c r="BF774" s="1061">
        <v>1700</v>
      </c>
      <c r="BG774" s="1061">
        <v>2000</v>
      </c>
      <c r="BH774" s="1061">
        <v>2500</v>
      </c>
      <c r="BI774" s="1061">
        <v>3000</v>
      </c>
      <c r="BJ774" s="1060" t="s">
        <v>1320</v>
      </c>
      <c r="BL774" s="1060" t="s">
        <v>1329</v>
      </c>
      <c r="BN774" s="1182"/>
      <c r="BO774" s="1060" t="s">
        <v>1601</v>
      </c>
      <c r="BW774" s="1181"/>
    </row>
    <row r="775" spans="51:75">
      <c r="AY775" s="1184"/>
      <c r="AZ775" s="1183" t="s">
        <v>858</v>
      </c>
      <c r="BA775" s="1172">
        <v>2</v>
      </c>
      <c r="BB775" s="1152">
        <v>0.62</v>
      </c>
      <c r="BC775" s="1097">
        <v>6.7</v>
      </c>
      <c r="BD775" s="1061">
        <v>700</v>
      </c>
      <c r="BE775" s="1061">
        <v>1200</v>
      </c>
      <c r="BF775" s="1061">
        <v>1700</v>
      </c>
      <c r="BG775" s="1061">
        <v>2000</v>
      </c>
      <c r="BH775" s="1061">
        <v>2500</v>
      </c>
      <c r="BI775" s="1061">
        <v>3000</v>
      </c>
      <c r="BJ775" s="1060" t="s">
        <v>1320</v>
      </c>
      <c r="BL775" s="1060" t="s">
        <v>1329</v>
      </c>
      <c r="BN775" s="1182"/>
      <c r="BO775" s="1060" t="s">
        <v>1600</v>
      </c>
      <c r="BW775" s="1181"/>
    </row>
    <row r="776" spans="51:75">
      <c r="AY776" s="1184"/>
      <c r="AZ776" s="1183" t="s">
        <v>859</v>
      </c>
      <c r="BA776" s="1172">
        <v>2</v>
      </c>
      <c r="BB776" s="1152">
        <v>0.62</v>
      </c>
      <c r="BC776" s="1097">
        <v>6.7</v>
      </c>
      <c r="BD776" s="1061">
        <v>700</v>
      </c>
      <c r="BE776" s="1061">
        <v>1200</v>
      </c>
      <c r="BF776" s="1061">
        <v>1700</v>
      </c>
      <c r="BG776" s="1061">
        <v>2000</v>
      </c>
      <c r="BH776" s="1061">
        <v>2500</v>
      </c>
      <c r="BI776" s="1061">
        <v>3000</v>
      </c>
      <c r="BJ776" s="1060" t="s">
        <v>1320</v>
      </c>
      <c r="BL776" s="1060" t="s">
        <v>1329</v>
      </c>
      <c r="BN776" s="1182"/>
      <c r="BO776" s="1060" t="s">
        <v>1599</v>
      </c>
      <c r="BW776" s="1181"/>
    </row>
    <row r="777" spans="51:75">
      <c r="AY777" s="1184"/>
      <c r="AZ777" s="1183" t="s">
        <v>1072</v>
      </c>
      <c r="BA777" s="1172">
        <v>6</v>
      </c>
      <c r="BB777" s="1152">
        <v>3.48</v>
      </c>
      <c r="BC777" s="1097">
        <v>5</v>
      </c>
      <c r="BD777" s="1061">
        <v>7000</v>
      </c>
      <c r="BE777" s="1061">
        <v>9000</v>
      </c>
      <c r="BF777" s="1061">
        <v>11000</v>
      </c>
      <c r="BG777" s="1061">
        <v>15000</v>
      </c>
      <c r="BH777" s="1061">
        <v>18500</v>
      </c>
      <c r="BI777" s="1061">
        <v>22000</v>
      </c>
      <c r="BJ777" s="1060" t="s">
        <v>1348</v>
      </c>
      <c r="BL777" s="1060" t="s">
        <v>1594</v>
      </c>
      <c r="BN777" s="1182"/>
      <c r="BO777" s="1060" t="s">
        <v>1598</v>
      </c>
      <c r="BW777" s="1181"/>
    </row>
    <row r="778" spans="51:75">
      <c r="AY778" s="1184"/>
      <c r="AZ778" s="1183" t="s">
        <v>1073</v>
      </c>
      <c r="BA778" s="1172">
        <v>6</v>
      </c>
      <c r="BB778" s="1152">
        <v>5.66</v>
      </c>
      <c r="BC778" s="1097">
        <v>5</v>
      </c>
      <c r="BD778" s="1061">
        <v>7000</v>
      </c>
      <c r="BE778" s="1061">
        <v>9000</v>
      </c>
      <c r="BF778" s="1061">
        <v>11000</v>
      </c>
      <c r="BG778" s="1061">
        <v>15000</v>
      </c>
      <c r="BH778" s="1061">
        <v>18500</v>
      </c>
      <c r="BI778" s="1061">
        <v>22000</v>
      </c>
      <c r="BJ778" s="1060" t="s">
        <v>1348</v>
      </c>
      <c r="BL778" s="1060" t="s">
        <v>1594</v>
      </c>
      <c r="BN778" s="1182"/>
      <c r="BO778" s="1060" t="s">
        <v>1597</v>
      </c>
      <c r="BW778" s="1181"/>
    </row>
    <row r="779" spans="51:75">
      <c r="AY779" s="1184"/>
      <c r="AZ779" s="1183" t="s">
        <v>1074</v>
      </c>
      <c r="BA779" s="1172">
        <v>6</v>
      </c>
      <c r="BB779" s="1152">
        <v>4.6900000000000004</v>
      </c>
      <c r="BC779" s="1097">
        <v>4.9000000000000004</v>
      </c>
      <c r="BD779" s="1061">
        <v>7000</v>
      </c>
      <c r="BE779" s="1061">
        <v>9000</v>
      </c>
      <c r="BF779" s="1061">
        <v>11000</v>
      </c>
      <c r="BG779" s="1061">
        <v>15000</v>
      </c>
      <c r="BH779" s="1061">
        <v>18500</v>
      </c>
      <c r="BI779" s="1061">
        <v>22000</v>
      </c>
      <c r="BJ779" s="1060" t="s">
        <v>1348</v>
      </c>
      <c r="BL779" s="1060" t="s">
        <v>1594</v>
      </c>
      <c r="BN779" s="1182"/>
      <c r="BO779" s="1060" t="s">
        <v>1596</v>
      </c>
      <c r="BW779" s="1181"/>
    </row>
    <row r="780" spans="51:75">
      <c r="AY780" s="1184"/>
      <c r="AZ780" s="1183" t="s">
        <v>1075</v>
      </c>
      <c r="BA780" s="1172">
        <v>6</v>
      </c>
      <c r="BB780" s="1152">
        <v>5.66</v>
      </c>
      <c r="BC780" s="1097">
        <v>5</v>
      </c>
      <c r="BD780" s="1061">
        <v>7000</v>
      </c>
      <c r="BE780" s="1061">
        <v>9000</v>
      </c>
      <c r="BF780" s="1061">
        <v>11000</v>
      </c>
      <c r="BG780" s="1061">
        <v>15000</v>
      </c>
      <c r="BH780" s="1061">
        <v>18500</v>
      </c>
      <c r="BI780" s="1061">
        <v>22000</v>
      </c>
      <c r="BJ780" s="1060" t="s">
        <v>1348</v>
      </c>
      <c r="BL780" s="1060" t="s">
        <v>1594</v>
      </c>
      <c r="BN780" s="1182"/>
      <c r="BO780" s="1060" t="s">
        <v>1595</v>
      </c>
      <c r="BW780" s="1181"/>
    </row>
    <row r="781" spans="51:75">
      <c r="AY781" s="1184"/>
      <c r="AZ781" s="1183" t="s">
        <v>1076</v>
      </c>
      <c r="BA781" s="1172">
        <v>6</v>
      </c>
      <c r="BB781" s="1152">
        <v>4.6900000000000004</v>
      </c>
      <c r="BC781" s="1097">
        <v>4.9000000000000004</v>
      </c>
      <c r="BD781" s="1061">
        <v>7000</v>
      </c>
      <c r="BE781" s="1061">
        <v>9000</v>
      </c>
      <c r="BF781" s="1061">
        <v>11000</v>
      </c>
      <c r="BG781" s="1061">
        <v>15000</v>
      </c>
      <c r="BH781" s="1061">
        <v>18500</v>
      </c>
      <c r="BI781" s="1061">
        <v>22000</v>
      </c>
      <c r="BJ781" s="1060" t="s">
        <v>1348</v>
      </c>
      <c r="BL781" s="1060" t="s">
        <v>1594</v>
      </c>
      <c r="BN781" s="1182"/>
      <c r="BO781" s="1060" t="s">
        <v>1593</v>
      </c>
      <c r="BW781" s="1181"/>
    </row>
    <row r="782" spans="51:75">
      <c r="AY782" s="1184"/>
      <c r="AZ782" s="1183" t="s">
        <v>1080</v>
      </c>
      <c r="BA782" s="1172">
        <v>6</v>
      </c>
      <c r="BB782" s="1152">
        <v>5.13</v>
      </c>
      <c r="BC782" s="1097">
        <v>5</v>
      </c>
      <c r="BD782" s="1061">
        <v>7000</v>
      </c>
      <c r="BE782" s="1061">
        <v>9000</v>
      </c>
      <c r="BF782" s="1061">
        <v>11000</v>
      </c>
      <c r="BG782" s="1061">
        <v>15000</v>
      </c>
      <c r="BH782" s="1061">
        <v>18500</v>
      </c>
      <c r="BI782" s="1061">
        <v>22000</v>
      </c>
      <c r="BJ782" s="1060" t="s">
        <v>1348</v>
      </c>
      <c r="BL782" s="1060" t="s">
        <v>1333</v>
      </c>
      <c r="BN782" s="1182"/>
      <c r="BO782" s="1060" t="s">
        <v>1592</v>
      </c>
      <c r="BW782" s="1181"/>
    </row>
    <row r="783" spans="51:75">
      <c r="AY783" s="1184"/>
      <c r="AZ783" s="1183" t="s">
        <v>1077</v>
      </c>
      <c r="BA783" s="1172">
        <v>6</v>
      </c>
      <c r="BB783" s="1152">
        <v>5.13</v>
      </c>
      <c r="BC783" s="1097">
        <v>5</v>
      </c>
      <c r="BD783" s="1061">
        <v>7000</v>
      </c>
      <c r="BE783" s="1061">
        <v>9000</v>
      </c>
      <c r="BF783" s="1061">
        <v>11000</v>
      </c>
      <c r="BG783" s="1061">
        <v>15000</v>
      </c>
      <c r="BH783" s="1061">
        <v>18500</v>
      </c>
      <c r="BI783" s="1061">
        <v>22000</v>
      </c>
      <c r="BJ783" s="1060" t="s">
        <v>1348</v>
      </c>
      <c r="BL783" s="1060" t="s">
        <v>1333</v>
      </c>
      <c r="BN783" s="1182"/>
      <c r="BO783" s="1060" t="s">
        <v>1591</v>
      </c>
      <c r="BW783" s="1181"/>
    </row>
    <row r="784" spans="51:75">
      <c r="AY784" s="1184"/>
      <c r="AZ784" s="1183" t="s">
        <v>1078</v>
      </c>
      <c r="BA784" s="1172">
        <v>6</v>
      </c>
      <c r="BB784" s="1152">
        <v>5.13</v>
      </c>
      <c r="BC784" s="1097">
        <v>5</v>
      </c>
      <c r="BD784" s="1061">
        <v>7000</v>
      </c>
      <c r="BE784" s="1061">
        <v>9000</v>
      </c>
      <c r="BF784" s="1061">
        <v>11000</v>
      </c>
      <c r="BG784" s="1061">
        <v>15000</v>
      </c>
      <c r="BH784" s="1061">
        <v>18500</v>
      </c>
      <c r="BI784" s="1061">
        <v>22000</v>
      </c>
      <c r="BJ784" s="1060" t="s">
        <v>1348</v>
      </c>
      <c r="BL784" s="1060" t="s">
        <v>1333</v>
      </c>
      <c r="BN784" s="1182"/>
      <c r="BO784" s="1060" t="s">
        <v>1590</v>
      </c>
      <c r="BW784" s="1181"/>
    </row>
    <row r="785" spans="51:75">
      <c r="AY785" s="1184"/>
      <c r="AZ785" s="1183" t="s">
        <v>1079</v>
      </c>
      <c r="BA785" s="1172">
        <v>6</v>
      </c>
      <c r="BB785" s="1152">
        <v>5.13</v>
      </c>
      <c r="BC785" s="1097">
        <v>5</v>
      </c>
      <c r="BD785" s="1061">
        <v>7000</v>
      </c>
      <c r="BE785" s="1061">
        <v>9000</v>
      </c>
      <c r="BF785" s="1061">
        <v>11000</v>
      </c>
      <c r="BG785" s="1061">
        <v>15000</v>
      </c>
      <c r="BH785" s="1061">
        <v>18500</v>
      </c>
      <c r="BI785" s="1061">
        <v>22000</v>
      </c>
      <c r="BJ785" s="1060" t="s">
        <v>1348</v>
      </c>
      <c r="BL785" s="1060" t="s">
        <v>1333</v>
      </c>
      <c r="BN785" s="1182"/>
      <c r="BO785" s="1060" t="s">
        <v>1589</v>
      </c>
      <c r="BW785" s="1181"/>
    </row>
    <row r="786" spans="51:75">
      <c r="AY786" s="1184"/>
      <c r="AZ786" s="1183" t="s">
        <v>980</v>
      </c>
      <c r="BA786" s="1172">
        <v>3</v>
      </c>
      <c r="BB786" s="1152">
        <v>0.39</v>
      </c>
      <c r="BC786" s="1097">
        <v>7.8</v>
      </c>
      <c r="BD786" s="1061">
        <v>1000</v>
      </c>
      <c r="BE786" s="1061">
        <v>1500</v>
      </c>
      <c r="BF786" s="1061">
        <v>2000</v>
      </c>
      <c r="BG786" s="1061">
        <v>3000</v>
      </c>
      <c r="BH786" s="1061">
        <v>5000</v>
      </c>
      <c r="BI786" s="1061">
        <v>7000</v>
      </c>
      <c r="BJ786" s="1060" t="s">
        <v>1320</v>
      </c>
      <c r="BL786" s="1060" t="s">
        <v>1329</v>
      </c>
      <c r="BN786" s="1182"/>
      <c r="BO786" s="1060" t="s">
        <v>1588</v>
      </c>
      <c r="BW786" s="1181"/>
    </row>
    <row r="787" spans="51:75">
      <c r="AY787" s="1184"/>
      <c r="AZ787" s="1183" t="s">
        <v>981</v>
      </c>
      <c r="BA787" s="1172">
        <v>3</v>
      </c>
      <c r="BB787" s="1152">
        <v>0.39</v>
      </c>
      <c r="BC787" s="1097">
        <v>7.8</v>
      </c>
      <c r="BD787" s="1061">
        <v>1000</v>
      </c>
      <c r="BE787" s="1061">
        <v>1500</v>
      </c>
      <c r="BF787" s="1061">
        <v>2000</v>
      </c>
      <c r="BG787" s="1061">
        <v>3000</v>
      </c>
      <c r="BH787" s="1061">
        <v>5000</v>
      </c>
      <c r="BI787" s="1061">
        <v>7000</v>
      </c>
      <c r="BJ787" s="1060" t="s">
        <v>1320</v>
      </c>
      <c r="BL787" s="1060" t="s">
        <v>1329</v>
      </c>
      <c r="BN787" s="1182"/>
      <c r="BO787" s="1060" t="s">
        <v>1587</v>
      </c>
      <c r="BW787" s="1181"/>
    </row>
    <row r="788" spans="51:75">
      <c r="AY788" s="1184"/>
      <c r="AZ788" s="1183" t="s">
        <v>1161</v>
      </c>
      <c r="BA788" s="1172">
        <v>8</v>
      </c>
      <c r="BB788" s="1152">
        <v>0.39</v>
      </c>
      <c r="BC788" s="1097">
        <v>7.8</v>
      </c>
      <c r="BD788" s="1061">
        <v>3000</v>
      </c>
      <c r="BE788" s="1061">
        <v>4000</v>
      </c>
      <c r="BF788" s="1061">
        <v>5000</v>
      </c>
      <c r="BG788" s="1061">
        <v>8000</v>
      </c>
      <c r="BH788" s="1061">
        <v>11000</v>
      </c>
      <c r="BI788" s="1061">
        <v>14000</v>
      </c>
      <c r="BJ788" s="1060" t="s">
        <v>1320</v>
      </c>
      <c r="BL788" s="1060" t="s">
        <v>1329</v>
      </c>
      <c r="BN788" s="1182"/>
      <c r="BO788" s="1060" t="s">
        <v>1586</v>
      </c>
      <c r="BW788" s="1181"/>
    </row>
    <row r="789" spans="51:75">
      <c r="AY789" s="1184"/>
      <c r="AZ789" s="1183" t="s">
        <v>1208</v>
      </c>
      <c r="BA789" s="1172">
        <v>10</v>
      </c>
      <c r="BB789" s="1152">
        <v>3.27</v>
      </c>
      <c r="BC789" s="1097">
        <v>5</v>
      </c>
      <c r="BD789" s="1061">
        <v>7000</v>
      </c>
      <c r="BE789" s="1061">
        <v>9000</v>
      </c>
      <c r="BF789" s="1061">
        <v>11000</v>
      </c>
      <c r="BG789" s="1061">
        <v>14000</v>
      </c>
      <c r="BH789" s="1061">
        <v>18000</v>
      </c>
      <c r="BI789" s="1061">
        <v>20000</v>
      </c>
      <c r="BJ789" s="1060" t="s">
        <v>1320</v>
      </c>
      <c r="BL789" s="1060" t="s">
        <v>1390</v>
      </c>
      <c r="BN789" s="1182"/>
      <c r="BO789" s="1060" t="s">
        <v>1585</v>
      </c>
      <c r="BW789" s="1181"/>
    </row>
    <row r="790" spans="51:75">
      <c r="AY790" s="1184"/>
      <c r="AZ790" s="1183" t="s">
        <v>1209</v>
      </c>
      <c r="BA790" s="1172">
        <v>10</v>
      </c>
      <c r="BB790" s="1152">
        <v>3.27</v>
      </c>
      <c r="BC790" s="1097">
        <v>5</v>
      </c>
      <c r="BD790" s="1061">
        <v>7000</v>
      </c>
      <c r="BE790" s="1061">
        <v>9000</v>
      </c>
      <c r="BF790" s="1061">
        <v>11000</v>
      </c>
      <c r="BG790" s="1061">
        <v>14000</v>
      </c>
      <c r="BH790" s="1061">
        <v>18000</v>
      </c>
      <c r="BI790" s="1061">
        <v>20000</v>
      </c>
      <c r="BJ790" s="1060" t="s">
        <v>1320</v>
      </c>
      <c r="BL790" s="1060" t="s">
        <v>1390</v>
      </c>
      <c r="BN790" s="1182"/>
      <c r="BO790" s="1060" t="s">
        <v>1584</v>
      </c>
      <c r="BW790" s="1181"/>
    </row>
    <row r="791" spans="51:75">
      <c r="AY791" s="1184"/>
      <c r="AZ791" s="1183" t="s">
        <v>1210</v>
      </c>
      <c r="BA791" s="1172">
        <v>10</v>
      </c>
      <c r="BB791" s="1152">
        <v>3.27</v>
      </c>
      <c r="BC791" s="1097">
        <v>5</v>
      </c>
      <c r="BD791" s="1061">
        <v>7000</v>
      </c>
      <c r="BE791" s="1061">
        <v>9000</v>
      </c>
      <c r="BF791" s="1061">
        <v>11000</v>
      </c>
      <c r="BG791" s="1061">
        <v>14000</v>
      </c>
      <c r="BH791" s="1061">
        <v>18000</v>
      </c>
      <c r="BI791" s="1061">
        <v>20000</v>
      </c>
      <c r="BJ791" s="1060" t="s">
        <v>1320</v>
      </c>
      <c r="BL791" s="1060" t="s">
        <v>1390</v>
      </c>
      <c r="BN791" s="1182"/>
      <c r="BO791" s="1060" t="s">
        <v>1583</v>
      </c>
      <c r="BW791" s="1181"/>
    </row>
    <row r="792" spans="51:75">
      <c r="AY792" s="1184"/>
      <c r="AZ792" s="1183" t="s">
        <v>1211</v>
      </c>
      <c r="BA792" s="1172">
        <v>10</v>
      </c>
      <c r="BB792" s="1152">
        <v>3.27</v>
      </c>
      <c r="BC792" s="1097">
        <v>5</v>
      </c>
      <c r="BD792" s="1061">
        <v>7000</v>
      </c>
      <c r="BE792" s="1061">
        <v>9000</v>
      </c>
      <c r="BF792" s="1061">
        <v>11000</v>
      </c>
      <c r="BG792" s="1061">
        <v>14000</v>
      </c>
      <c r="BH792" s="1061">
        <v>18000</v>
      </c>
      <c r="BI792" s="1061">
        <v>20000</v>
      </c>
      <c r="BJ792" s="1060" t="s">
        <v>1320</v>
      </c>
      <c r="BL792" s="1060" t="s">
        <v>1390</v>
      </c>
      <c r="BN792" s="1182"/>
      <c r="BO792" s="1060" t="s">
        <v>1582</v>
      </c>
      <c r="BW792" s="1181"/>
    </row>
    <row r="793" spans="51:75">
      <c r="AY793" s="1184"/>
      <c r="AZ793" s="1183" t="s">
        <v>1162</v>
      </c>
      <c r="BA793" s="1172">
        <v>8</v>
      </c>
      <c r="BB793" s="1152">
        <v>5.46</v>
      </c>
      <c r="BC793" s="1097">
        <v>5.3</v>
      </c>
      <c r="BD793" s="1061">
        <v>3000</v>
      </c>
      <c r="BE793" s="1061">
        <v>4000</v>
      </c>
      <c r="BF793" s="1061">
        <v>5000</v>
      </c>
      <c r="BG793" s="1061">
        <v>8000</v>
      </c>
      <c r="BH793" s="1061">
        <v>11000</v>
      </c>
      <c r="BI793" s="1061">
        <v>14000</v>
      </c>
      <c r="BJ793" s="1060" t="s">
        <v>1348</v>
      </c>
      <c r="BL793" s="1060" t="s">
        <v>1324</v>
      </c>
      <c r="BN793" s="1182"/>
      <c r="BO793" s="1060" t="s">
        <v>1581</v>
      </c>
      <c r="BW793" s="1181"/>
    </row>
    <row r="794" spans="51:75">
      <c r="AY794" s="1184"/>
      <c r="AZ794" s="1183" t="s">
        <v>1163</v>
      </c>
      <c r="BA794" s="1172">
        <v>8</v>
      </c>
      <c r="BB794" s="1152">
        <v>5.46</v>
      </c>
      <c r="BC794" s="1097">
        <v>5.3</v>
      </c>
      <c r="BD794" s="1061">
        <v>3000</v>
      </c>
      <c r="BE794" s="1061">
        <v>4000</v>
      </c>
      <c r="BF794" s="1061">
        <v>5000</v>
      </c>
      <c r="BG794" s="1061">
        <v>8000</v>
      </c>
      <c r="BH794" s="1061">
        <v>11000</v>
      </c>
      <c r="BI794" s="1061">
        <v>14000</v>
      </c>
      <c r="BJ794" s="1060" t="s">
        <v>1348</v>
      </c>
      <c r="BL794" s="1060" t="s">
        <v>1324</v>
      </c>
      <c r="BN794" s="1182"/>
      <c r="BO794" s="1060" t="s">
        <v>1580</v>
      </c>
      <c r="BW794" s="1181"/>
    </row>
    <row r="795" spans="51:75">
      <c r="AY795" s="1184"/>
      <c r="AZ795" s="1183" t="s">
        <v>862</v>
      </c>
      <c r="BA795" s="1172">
        <v>2</v>
      </c>
      <c r="BB795" s="1152">
        <v>1.35</v>
      </c>
      <c r="BC795" s="1097">
        <v>6.9</v>
      </c>
      <c r="BD795" s="1061">
        <v>700</v>
      </c>
      <c r="BE795" s="1061">
        <v>1200</v>
      </c>
      <c r="BF795" s="1061">
        <v>1700</v>
      </c>
      <c r="BG795" s="1061">
        <v>2000</v>
      </c>
      <c r="BH795" s="1061">
        <v>2500</v>
      </c>
      <c r="BI795" s="1061">
        <v>3000</v>
      </c>
      <c r="BJ795" s="1060" t="s">
        <v>1320</v>
      </c>
      <c r="BL795" s="1060" t="s">
        <v>1333</v>
      </c>
      <c r="BN795" s="1182"/>
      <c r="BO795" s="1060" t="s">
        <v>1579</v>
      </c>
      <c r="BW795" s="1181"/>
    </row>
    <row r="796" spans="51:75">
      <c r="AY796" s="1184"/>
      <c r="AZ796" s="1183" t="s">
        <v>863</v>
      </c>
      <c r="BA796" s="1172">
        <v>2</v>
      </c>
      <c r="BB796" s="1152">
        <v>1.35</v>
      </c>
      <c r="BC796" s="1097">
        <v>6.9</v>
      </c>
      <c r="BD796" s="1061">
        <v>700</v>
      </c>
      <c r="BE796" s="1061">
        <v>1200</v>
      </c>
      <c r="BF796" s="1061">
        <v>1700</v>
      </c>
      <c r="BG796" s="1061">
        <v>2000</v>
      </c>
      <c r="BH796" s="1061">
        <v>2500</v>
      </c>
      <c r="BI796" s="1061">
        <v>3000</v>
      </c>
      <c r="BJ796" s="1060" t="s">
        <v>1320</v>
      </c>
      <c r="BL796" s="1060" t="s">
        <v>1333</v>
      </c>
      <c r="BN796" s="1182"/>
      <c r="BO796" s="1060" t="s">
        <v>1578</v>
      </c>
      <c r="BW796" s="1181"/>
    </row>
    <row r="797" spans="51:75">
      <c r="AY797" s="1184"/>
      <c r="AZ797" s="1183" t="s">
        <v>864</v>
      </c>
      <c r="BA797" s="1172">
        <v>2</v>
      </c>
      <c r="BB797" s="1152">
        <v>1.35</v>
      </c>
      <c r="BC797" s="1097">
        <v>6.9</v>
      </c>
      <c r="BD797" s="1061">
        <v>700</v>
      </c>
      <c r="BE797" s="1061">
        <v>1200</v>
      </c>
      <c r="BF797" s="1061">
        <v>1700</v>
      </c>
      <c r="BG797" s="1061">
        <v>2000</v>
      </c>
      <c r="BH797" s="1061">
        <v>2500</v>
      </c>
      <c r="BI797" s="1061">
        <v>3000</v>
      </c>
      <c r="BJ797" s="1060" t="s">
        <v>1320</v>
      </c>
      <c r="BL797" s="1060" t="s">
        <v>1333</v>
      </c>
      <c r="BN797" s="1182"/>
      <c r="BO797" s="1060" t="s">
        <v>1577</v>
      </c>
      <c r="BW797" s="1181"/>
    </row>
    <row r="798" spans="51:75">
      <c r="AY798" s="1184"/>
      <c r="AZ798" s="1183" t="s">
        <v>865</v>
      </c>
      <c r="BA798" s="1172">
        <v>2</v>
      </c>
      <c r="BB798" s="1152">
        <v>1.34</v>
      </c>
      <c r="BC798" s="1097">
        <v>6.9</v>
      </c>
      <c r="BD798" s="1061">
        <v>700</v>
      </c>
      <c r="BE798" s="1061">
        <v>1200</v>
      </c>
      <c r="BF798" s="1061">
        <v>1700</v>
      </c>
      <c r="BG798" s="1061">
        <v>2000</v>
      </c>
      <c r="BH798" s="1061">
        <v>2500</v>
      </c>
      <c r="BI798" s="1061">
        <v>3000</v>
      </c>
      <c r="BJ798" s="1060" t="s">
        <v>1320</v>
      </c>
      <c r="BL798" s="1060" t="s">
        <v>1333</v>
      </c>
      <c r="BN798" s="1182"/>
      <c r="BO798" s="1060" t="s">
        <v>1576</v>
      </c>
      <c r="BW798" s="1181"/>
    </row>
    <row r="799" spans="51:75">
      <c r="AY799" s="1184"/>
      <c r="AZ799" s="1183" t="s">
        <v>866</v>
      </c>
      <c r="BA799" s="1172">
        <v>2</v>
      </c>
      <c r="BB799" s="1152">
        <v>1.34</v>
      </c>
      <c r="BC799" s="1097">
        <v>6.9</v>
      </c>
      <c r="BD799" s="1061">
        <v>700</v>
      </c>
      <c r="BE799" s="1061">
        <v>1200</v>
      </c>
      <c r="BF799" s="1061">
        <v>1700</v>
      </c>
      <c r="BG799" s="1061">
        <v>2000</v>
      </c>
      <c r="BH799" s="1061">
        <v>2500</v>
      </c>
      <c r="BI799" s="1061">
        <v>3000</v>
      </c>
      <c r="BJ799" s="1060" t="s">
        <v>1320</v>
      </c>
      <c r="BL799" s="1060" t="s">
        <v>1333</v>
      </c>
      <c r="BN799" s="1182"/>
      <c r="BO799" s="1060" t="s">
        <v>1575</v>
      </c>
      <c r="BW799" s="1181"/>
    </row>
    <row r="800" spans="51:75">
      <c r="AY800" s="1184"/>
      <c r="AZ800" s="1183" t="s">
        <v>867</v>
      </c>
      <c r="BA800" s="1172">
        <v>2</v>
      </c>
      <c r="BB800" s="1152">
        <v>1.34</v>
      </c>
      <c r="BC800" s="1097">
        <v>6.9</v>
      </c>
      <c r="BD800" s="1061">
        <v>700</v>
      </c>
      <c r="BE800" s="1061">
        <v>1200</v>
      </c>
      <c r="BF800" s="1061">
        <v>1700</v>
      </c>
      <c r="BG800" s="1061">
        <v>2000</v>
      </c>
      <c r="BH800" s="1061">
        <v>2500</v>
      </c>
      <c r="BI800" s="1061">
        <v>3000</v>
      </c>
      <c r="BJ800" s="1060" t="s">
        <v>1320</v>
      </c>
      <c r="BL800" s="1060" t="s">
        <v>1333</v>
      </c>
      <c r="BN800" s="1182"/>
      <c r="BO800" s="1060" t="s">
        <v>1574</v>
      </c>
      <c r="BW800" s="1181"/>
    </row>
    <row r="801" spans="51:75">
      <c r="AY801" s="1184"/>
      <c r="AZ801" s="1183" t="s">
        <v>868</v>
      </c>
      <c r="BA801" s="1172">
        <v>2</v>
      </c>
      <c r="BB801" s="1152">
        <v>1.34</v>
      </c>
      <c r="BC801" s="1097">
        <v>6.9</v>
      </c>
      <c r="BD801" s="1061">
        <v>700</v>
      </c>
      <c r="BE801" s="1061">
        <v>1200</v>
      </c>
      <c r="BF801" s="1061">
        <v>1700</v>
      </c>
      <c r="BG801" s="1061">
        <v>2000</v>
      </c>
      <c r="BH801" s="1061">
        <v>2500</v>
      </c>
      <c r="BI801" s="1061">
        <v>3000</v>
      </c>
      <c r="BJ801" s="1060" t="s">
        <v>1320</v>
      </c>
      <c r="BL801" s="1060" t="s">
        <v>1333</v>
      </c>
      <c r="BN801" s="1182"/>
      <c r="BO801" s="1060" t="s">
        <v>1573</v>
      </c>
      <c r="BW801" s="1181"/>
    </row>
    <row r="802" spans="51:75">
      <c r="AY802" s="1184"/>
      <c r="AZ802" s="1183" t="s">
        <v>869</v>
      </c>
      <c r="BA802" s="1172">
        <v>2</v>
      </c>
      <c r="BB802" s="1152">
        <v>1.35</v>
      </c>
      <c r="BC802" s="1097">
        <v>6.9</v>
      </c>
      <c r="BD802" s="1061">
        <v>700</v>
      </c>
      <c r="BE802" s="1061">
        <v>1200</v>
      </c>
      <c r="BF802" s="1061">
        <v>1700</v>
      </c>
      <c r="BG802" s="1061">
        <v>2000</v>
      </c>
      <c r="BH802" s="1061">
        <v>2500</v>
      </c>
      <c r="BI802" s="1061">
        <v>3000</v>
      </c>
      <c r="BJ802" s="1060" t="s">
        <v>1320</v>
      </c>
      <c r="BL802" s="1060" t="s">
        <v>1333</v>
      </c>
      <c r="BN802" s="1182"/>
      <c r="BO802" s="1060" t="s">
        <v>1572</v>
      </c>
      <c r="BW802" s="1181"/>
    </row>
    <row r="803" spans="51:75">
      <c r="AY803" s="1184"/>
      <c r="AZ803" s="1183" t="s">
        <v>1159</v>
      </c>
      <c r="BA803" s="1172">
        <v>8</v>
      </c>
      <c r="BB803" s="1152">
        <v>1.41</v>
      </c>
      <c r="BC803" s="1097">
        <v>6.1</v>
      </c>
      <c r="BD803" s="1061">
        <v>3000</v>
      </c>
      <c r="BE803" s="1061">
        <v>4000</v>
      </c>
      <c r="BF803" s="1061">
        <v>5000</v>
      </c>
      <c r="BG803" s="1061">
        <v>8000</v>
      </c>
      <c r="BH803" s="1061">
        <v>11000</v>
      </c>
      <c r="BI803" s="1061">
        <v>14000</v>
      </c>
      <c r="BJ803" s="1060" t="s">
        <v>1320</v>
      </c>
      <c r="BL803" s="1060" t="s">
        <v>1390</v>
      </c>
      <c r="BN803" s="1182"/>
      <c r="BO803" s="1060" t="s">
        <v>1571</v>
      </c>
      <c r="BW803" s="1181"/>
    </row>
    <row r="804" spans="51:75">
      <c r="AY804" s="1184"/>
      <c r="AZ804" s="1183" t="s">
        <v>1160</v>
      </c>
      <c r="BA804" s="1172">
        <v>8</v>
      </c>
      <c r="BB804" s="1152">
        <v>1.41</v>
      </c>
      <c r="BC804" s="1097">
        <v>6.1</v>
      </c>
      <c r="BD804" s="1061">
        <v>3000</v>
      </c>
      <c r="BE804" s="1061">
        <v>4000</v>
      </c>
      <c r="BF804" s="1061">
        <v>5000</v>
      </c>
      <c r="BG804" s="1061">
        <v>8000</v>
      </c>
      <c r="BH804" s="1061">
        <v>11000</v>
      </c>
      <c r="BI804" s="1061">
        <v>14000</v>
      </c>
      <c r="BJ804" s="1060" t="s">
        <v>1320</v>
      </c>
      <c r="BL804" s="1060" t="s">
        <v>1390</v>
      </c>
      <c r="BN804" s="1182"/>
      <c r="BO804" s="1060" t="s">
        <v>1570</v>
      </c>
      <c r="BW804" s="1181"/>
    </row>
    <row r="805" spans="51:75">
      <c r="AY805" s="1184"/>
      <c r="AZ805" s="1183" t="s">
        <v>1569</v>
      </c>
      <c r="BB805" s="1152">
        <v>3.28</v>
      </c>
      <c r="BC805" s="1097">
        <v>5.6</v>
      </c>
      <c r="BJ805" s="1060" t="s">
        <v>1320</v>
      </c>
      <c r="BL805" s="1060" t="s">
        <v>1333</v>
      </c>
      <c r="BN805" s="1182"/>
      <c r="BO805" s="1060" t="s">
        <v>1568</v>
      </c>
      <c r="BW805" s="1181"/>
    </row>
    <row r="806" spans="51:75">
      <c r="AY806" s="1184"/>
      <c r="AZ806" s="1183" t="s">
        <v>1567</v>
      </c>
      <c r="BB806" s="1152">
        <v>3.28</v>
      </c>
      <c r="BC806" s="1097">
        <v>5.6</v>
      </c>
      <c r="BJ806" s="1060" t="s">
        <v>1320</v>
      </c>
      <c r="BL806" s="1060" t="s">
        <v>1333</v>
      </c>
      <c r="BN806" s="1182"/>
      <c r="BO806" s="1060" t="s">
        <v>1566</v>
      </c>
      <c r="BW806" s="1181"/>
    </row>
    <row r="807" spans="51:75">
      <c r="AY807" s="1184"/>
      <c r="AZ807" s="1183" t="s">
        <v>783</v>
      </c>
      <c r="BA807" s="1172">
        <v>1</v>
      </c>
      <c r="BB807" s="1152">
        <v>0.84</v>
      </c>
      <c r="BC807" s="1097">
        <v>7.2</v>
      </c>
      <c r="BD807" s="1061">
        <v>400</v>
      </c>
      <c r="BE807" s="1061">
        <v>800</v>
      </c>
      <c r="BF807" s="1061">
        <v>1200</v>
      </c>
      <c r="BG807" s="1061">
        <v>1500</v>
      </c>
      <c r="BH807" s="1061">
        <v>2000</v>
      </c>
      <c r="BI807" s="1061">
        <v>2500</v>
      </c>
      <c r="BJ807" s="1060" t="s">
        <v>1320</v>
      </c>
      <c r="BL807" s="1060" t="s">
        <v>1329</v>
      </c>
      <c r="BN807" s="1182"/>
      <c r="BO807" s="1060" t="s">
        <v>1565</v>
      </c>
      <c r="BW807" s="1181"/>
    </row>
    <row r="808" spans="51:75">
      <c r="AY808" s="1184"/>
      <c r="AZ808" s="1183" t="s">
        <v>786</v>
      </c>
      <c r="BA808" s="1172">
        <v>1</v>
      </c>
      <c r="BB808" s="1152">
        <v>0.84</v>
      </c>
      <c r="BC808" s="1097">
        <v>7.2</v>
      </c>
      <c r="BD808" s="1061">
        <v>400</v>
      </c>
      <c r="BE808" s="1061">
        <v>800</v>
      </c>
      <c r="BF808" s="1061">
        <v>1200</v>
      </c>
      <c r="BG808" s="1061">
        <v>1500</v>
      </c>
      <c r="BH808" s="1061">
        <v>2000</v>
      </c>
      <c r="BI808" s="1061">
        <v>2500</v>
      </c>
      <c r="BJ808" s="1060" t="s">
        <v>1320</v>
      </c>
      <c r="BL808" s="1060" t="s">
        <v>1329</v>
      </c>
      <c r="BN808" s="1182"/>
      <c r="BO808" s="1060" t="s">
        <v>1564</v>
      </c>
      <c r="BW808" s="1181"/>
    </row>
    <row r="809" spans="51:75">
      <c r="AY809" s="1184"/>
      <c r="AZ809" s="1183" t="s">
        <v>870</v>
      </c>
      <c r="BA809" s="1172">
        <v>2</v>
      </c>
      <c r="BB809" s="1152">
        <v>1.1100000000000001</v>
      </c>
      <c r="BC809" s="1097">
        <v>7.2</v>
      </c>
      <c r="BD809" s="1061">
        <v>700</v>
      </c>
      <c r="BE809" s="1061">
        <v>1200</v>
      </c>
      <c r="BF809" s="1061">
        <v>1700</v>
      </c>
      <c r="BG809" s="1061">
        <v>2000</v>
      </c>
      <c r="BH809" s="1061">
        <v>2500</v>
      </c>
      <c r="BI809" s="1061">
        <v>3000</v>
      </c>
      <c r="BJ809" s="1060" t="s">
        <v>1320</v>
      </c>
      <c r="BL809" s="1060" t="s">
        <v>1563</v>
      </c>
      <c r="BN809" s="1182"/>
      <c r="BO809" s="1060" t="s">
        <v>1562</v>
      </c>
      <c r="BW809" s="1181"/>
    </row>
    <row r="810" spans="51:75">
      <c r="AY810" s="1184"/>
      <c r="AZ810" s="1183" t="s">
        <v>1081</v>
      </c>
      <c r="BA810" s="1172">
        <v>6</v>
      </c>
      <c r="BB810" s="1152">
        <v>2.85</v>
      </c>
      <c r="BC810" s="1097">
        <v>4.4000000000000004</v>
      </c>
      <c r="BD810" s="1061">
        <v>7000</v>
      </c>
      <c r="BE810" s="1061">
        <v>9000</v>
      </c>
      <c r="BF810" s="1061">
        <v>11000</v>
      </c>
      <c r="BG810" s="1061">
        <v>15000</v>
      </c>
      <c r="BH810" s="1061">
        <v>18500</v>
      </c>
      <c r="BI810" s="1061">
        <v>22000</v>
      </c>
      <c r="BJ810" s="1060" t="s">
        <v>1320</v>
      </c>
      <c r="BL810" s="1060" t="s">
        <v>1333</v>
      </c>
      <c r="BN810" s="1182"/>
      <c r="BO810" s="1060" t="s">
        <v>1561</v>
      </c>
      <c r="BW810" s="1181"/>
    </row>
    <row r="811" spans="51:75">
      <c r="AY811" s="1184"/>
      <c r="AZ811" s="1183" t="s">
        <v>1082</v>
      </c>
      <c r="BA811" s="1172">
        <v>6</v>
      </c>
      <c r="BB811" s="1152">
        <v>2.85</v>
      </c>
      <c r="BC811" s="1097">
        <v>4.4000000000000004</v>
      </c>
      <c r="BD811" s="1061">
        <v>7000</v>
      </c>
      <c r="BE811" s="1061">
        <v>9000</v>
      </c>
      <c r="BF811" s="1061">
        <v>11000</v>
      </c>
      <c r="BG811" s="1061">
        <v>15000</v>
      </c>
      <c r="BH811" s="1061">
        <v>18500</v>
      </c>
      <c r="BI811" s="1061">
        <v>22000</v>
      </c>
      <c r="BJ811" s="1060" t="s">
        <v>1320</v>
      </c>
      <c r="BL811" s="1060" t="s">
        <v>1333</v>
      </c>
      <c r="BN811" s="1182"/>
      <c r="BO811" s="1060" t="s">
        <v>1560</v>
      </c>
      <c r="BW811" s="1181"/>
    </row>
    <row r="812" spans="51:75">
      <c r="AY812" s="1184"/>
      <c r="AZ812" s="1183" t="s">
        <v>1083</v>
      </c>
      <c r="BA812" s="1172">
        <v>6</v>
      </c>
      <c r="BB812" s="1152">
        <v>2.66</v>
      </c>
      <c r="BC812" s="1097">
        <v>4.4000000000000004</v>
      </c>
      <c r="BD812" s="1061">
        <v>7000</v>
      </c>
      <c r="BE812" s="1061">
        <v>9000</v>
      </c>
      <c r="BF812" s="1061">
        <v>11000</v>
      </c>
      <c r="BG812" s="1061">
        <v>15000</v>
      </c>
      <c r="BH812" s="1061">
        <v>18500</v>
      </c>
      <c r="BI812" s="1061">
        <v>22000</v>
      </c>
      <c r="BJ812" s="1060" t="s">
        <v>1320</v>
      </c>
      <c r="BL812" s="1060" t="s">
        <v>1333</v>
      </c>
      <c r="BN812" s="1182"/>
      <c r="BO812" s="1060" t="s">
        <v>1559</v>
      </c>
      <c r="BW812" s="1181"/>
    </row>
    <row r="813" spans="51:75">
      <c r="AY813" s="1184"/>
      <c r="AZ813" s="1183" t="s">
        <v>1084</v>
      </c>
      <c r="BA813" s="1172">
        <v>6</v>
      </c>
      <c r="BB813" s="1152">
        <v>2.85</v>
      </c>
      <c r="BC813" s="1097">
        <v>4.5</v>
      </c>
      <c r="BD813" s="1061">
        <v>7000</v>
      </c>
      <c r="BE813" s="1061">
        <v>9000</v>
      </c>
      <c r="BF813" s="1061">
        <v>11000</v>
      </c>
      <c r="BG813" s="1061">
        <v>15000</v>
      </c>
      <c r="BH813" s="1061">
        <v>18500</v>
      </c>
      <c r="BI813" s="1061">
        <v>22000</v>
      </c>
      <c r="BJ813" s="1060" t="s">
        <v>1320</v>
      </c>
      <c r="BL813" s="1060" t="s">
        <v>1333</v>
      </c>
      <c r="BN813" s="1182"/>
      <c r="BO813" s="1060" t="s">
        <v>1558</v>
      </c>
      <c r="BW813" s="1181"/>
    </row>
    <row r="814" spans="51:75">
      <c r="AY814" s="1184"/>
      <c r="AZ814" s="1183" t="s">
        <v>1085</v>
      </c>
      <c r="BA814" s="1172">
        <v>6</v>
      </c>
      <c r="BB814" s="1152">
        <v>2.85</v>
      </c>
      <c r="BC814" s="1097">
        <v>4.5</v>
      </c>
      <c r="BD814" s="1061">
        <v>7000</v>
      </c>
      <c r="BE814" s="1061">
        <v>9000</v>
      </c>
      <c r="BF814" s="1061">
        <v>11000</v>
      </c>
      <c r="BG814" s="1061">
        <v>15000</v>
      </c>
      <c r="BH814" s="1061">
        <v>18500</v>
      </c>
      <c r="BI814" s="1061">
        <v>22000</v>
      </c>
      <c r="BJ814" s="1060" t="s">
        <v>1320</v>
      </c>
      <c r="BL814" s="1060" t="s">
        <v>1333</v>
      </c>
      <c r="BN814" s="1182"/>
      <c r="BO814" s="1060" t="s">
        <v>1557</v>
      </c>
      <c r="BW814" s="1181"/>
    </row>
    <row r="815" spans="51:75">
      <c r="AY815" s="1184"/>
      <c r="AZ815" s="1183" t="s">
        <v>1086</v>
      </c>
      <c r="BA815" s="1172">
        <v>6</v>
      </c>
      <c r="BB815" s="1152">
        <v>2.85</v>
      </c>
      <c r="BC815" s="1097">
        <v>4.5</v>
      </c>
      <c r="BD815" s="1061">
        <v>7000</v>
      </c>
      <c r="BE815" s="1061">
        <v>9000</v>
      </c>
      <c r="BF815" s="1061">
        <v>11000</v>
      </c>
      <c r="BG815" s="1061">
        <v>15000</v>
      </c>
      <c r="BH815" s="1061">
        <v>18500</v>
      </c>
      <c r="BI815" s="1061">
        <v>22000</v>
      </c>
      <c r="BJ815" s="1060" t="s">
        <v>1320</v>
      </c>
      <c r="BL815" s="1060" t="s">
        <v>1333</v>
      </c>
      <c r="BN815" s="1182"/>
      <c r="BO815" s="1060" t="s">
        <v>1556</v>
      </c>
      <c r="BW815" s="1181"/>
    </row>
    <row r="816" spans="51:75">
      <c r="AY816" s="1184"/>
      <c r="AZ816" s="1183" t="s">
        <v>1087</v>
      </c>
      <c r="BA816" s="1172">
        <v>6</v>
      </c>
      <c r="BB816" s="1152">
        <v>2.66</v>
      </c>
      <c r="BC816" s="1097">
        <v>4.4000000000000004</v>
      </c>
      <c r="BD816" s="1061">
        <v>7000</v>
      </c>
      <c r="BE816" s="1061">
        <v>9000</v>
      </c>
      <c r="BF816" s="1061">
        <v>11000</v>
      </c>
      <c r="BG816" s="1061">
        <v>15000</v>
      </c>
      <c r="BH816" s="1061">
        <v>18500</v>
      </c>
      <c r="BI816" s="1061">
        <v>22000</v>
      </c>
      <c r="BJ816" s="1060" t="s">
        <v>1320</v>
      </c>
      <c r="BL816" s="1060" t="s">
        <v>1333</v>
      </c>
      <c r="BN816" s="1182"/>
      <c r="BO816" s="1060" t="s">
        <v>1555</v>
      </c>
      <c r="BW816" s="1181"/>
    </row>
    <row r="817" spans="51:75">
      <c r="AY817" s="1184"/>
      <c r="AZ817" s="1183" t="s">
        <v>1088</v>
      </c>
      <c r="BA817" s="1172">
        <v>6</v>
      </c>
      <c r="BB817" s="1152">
        <v>2.85</v>
      </c>
      <c r="BC817" s="1097">
        <v>4.5</v>
      </c>
      <c r="BD817" s="1061">
        <v>7000</v>
      </c>
      <c r="BE817" s="1061">
        <v>9000</v>
      </c>
      <c r="BF817" s="1061">
        <v>11000</v>
      </c>
      <c r="BG817" s="1061">
        <v>15000</v>
      </c>
      <c r="BH817" s="1061">
        <v>18500</v>
      </c>
      <c r="BI817" s="1061">
        <v>22000</v>
      </c>
      <c r="BJ817" s="1060" t="s">
        <v>1320</v>
      </c>
      <c r="BL817" s="1060" t="s">
        <v>1333</v>
      </c>
      <c r="BN817" s="1182"/>
      <c r="BO817" s="1060" t="s">
        <v>1554</v>
      </c>
      <c r="BW817" s="1181"/>
    </row>
    <row r="818" spans="51:75">
      <c r="AY818" s="1184"/>
      <c r="AZ818" s="1183" t="s">
        <v>982</v>
      </c>
      <c r="BA818" s="1172">
        <v>3</v>
      </c>
      <c r="BB818" s="1152">
        <v>0.99</v>
      </c>
      <c r="BC818" s="1097">
        <v>7.8</v>
      </c>
      <c r="BD818" s="1061">
        <v>1000</v>
      </c>
      <c r="BE818" s="1061">
        <v>1500</v>
      </c>
      <c r="BF818" s="1061">
        <v>2000</v>
      </c>
      <c r="BG818" s="1061">
        <v>3000</v>
      </c>
      <c r="BH818" s="1061">
        <v>5000</v>
      </c>
      <c r="BI818" s="1061">
        <v>7000</v>
      </c>
      <c r="BJ818" s="1060" t="s">
        <v>1320</v>
      </c>
      <c r="BL818" s="1060" t="s">
        <v>1333</v>
      </c>
      <c r="BN818" s="1182"/>
      <c r="BO818" s="1060" t="s">
        <v>1553</v>
      </c>
      <c r="BW818" s="1181"/>
    </row>
    <row r="819" spans="51:75">
      <c r="AY819" s="1184"/>
      <c r="AZ819" s="1183" t="s">
        <v>983</v>
      </c>
      <c r="BA819" s="1172">
        <v>3</v>
      </c>
      <c r="BB819" s="1152">
        <v>0.96</v>
      </c>
      <c r="BC819" s="1097">
        <v>7.9</v>
      </c>
      <c r="BD819" s="1061">
        <v>1000</v>
      </c>
      <c r="BE819" s="1061">
        <v>1500</v>
      </c>
      <c r="BF819" s="1061">
        <v>2000</v>
      </c>
      <c r="BG819" s="1061">
        <v>3000</v>
      </c>
      <c r="BH819" s="1061">
        <v>5000</v>
      </c>
      <c r="BI819" s="1061">
        <v>7000</v>
      </c>
      <c r="BJ819" s="1060" t="s">
        <v>1320</v>
      </c>
      <c r="BL819" s="1060" t="s">
        <v>1333</v>
      </c>
      <c r="BN819" s="1182"/>
      <c r="BO819" s="1060" t="s">
        <v>1552</v>
      </c>
      <c r="BW819" s="1181"/>
    </row>
    <row r="820" spans="51:75">
      <c r="AY820" s="1184"/>
      <c r="AZ820" s="1183" t="s">
        <v>984</v>
      </c>
      <c r="BA820" s="1172">
        <v>3</v>
      </c>
      <c r="BB820" s="1152">
        <v>0.96</v>
      </c>
      <c r="BC820" s="1097">
        <v>7.9</v>
      </c>
      <c r="BD820" s="1061">
        <v>1000</v>
      </c>
      <c r="BE820" s="1061">
        <v>1500</v>
      </c>
      <c r="BF820" s="1061">
        <v>2000</v>
      </c>
      <c r="BG820" s="1061">
        <v>3000</v>
      </c>
      <c r="BH820" s="1061">
        <v>5000</v>
      </c>
      <c r="BI820" s="1061">
        <v>7000</v>
      </c>
      <c r="BJ820" s="1060" t="s">
        <v>1320</v>
      </c>
      <c r="BL820" s="1060" t="s">
        <v>1333</v>
      </c>
      <c r="BN820" s="1182"/>
      <c r="BO820" s="1060" t="s">
        <v>1551</v>
      </c>
      <c r="BW820" s="1181"/>
    </row>
    <row r="821" spans="51:75">
      <c r="AY821" s="1184"/>
      <c r="AZ821" s="1183" t="s">
        <v>985</v>
      </c>
      <c r="BA821" s="1172">
        <v>3</v>
      </c>
      <c r="BB821" s="1152">
        <v>1.98</v>
      </c>
      <c r="BC821" s="1097">
        <v>7.8</v>
      </c>
      <c r="BD821" s="1061">
        <v>1000</v>
      </c>
      <c r="BE821" s="1061">
        <v>1500</v>
      </c>
      <c r="BF821" s="1061">
        <v>2000</v>
      </c>
      <c r="BG821" s="1061">
        <v>3000</v>
      </c>
      <c r="BH821" s="1061">
        <v>5000</v>
      </c>
      <c r="BI821" s="1061">
        <v>7000</v>
      </c>
      <c r="BJ821" s="1060" t="s">
        <v>1320</v>
      </c>
      <c r="BL821" s="1060" t="s">
        <v>1333</v>
      </c>
      <c r="BN821" s="1182"/>
      <c r="BO821" s="1060" t="s">
        <v>1550</v>
      </c>
      <c r="BW821" s="1181"/>
    </row>
    <row r="822" spans="51:75">
      <c r="AY822" s="1184"/>
      <c r="AZ822" s="1183" t="s">
        <v>986</v>
      </c>
      <c r="BA822" s="1172">
        <v>3</v>
      </c>
      <c r="BB822" s="1152">
        <v>0.96</v>
      </c>
      <c r="BC822" s="1097">
        <v>7.9</v>
      </c>
      <c r="BD822" s="1061">
        <v>1000</v>
      </c>
      <c r="BE822" s="1061">
        <v>1500</v>
      </c>
      <c r="BF822" s="1061">
        <v>2000</v>
      </c>
      <c r="BG822" s="1061">
        <v>3000</v>
      </c>
      <c r="BH822" s="1061">
        <v>5000</v>
      </c>
      <c r="BI822" s="1061">
        <v>7000</v>
      </c>
      <c r="BJ822" s="1060" t="s">
        <v>1320</v>
      </c>
      <c r="BL822" s="1060" t="s">
        <v>1333</v>
      </c>
      <c r="BN822" s="1182"/>
      <c r="BO822" s="1060" t="s">
        <v>1549</v>
      </c>
      <c r="BW822" s="1181"/>
    </row>
    <row r="823" spans="51:75">
      <c r="AY823" s="1184"/>
      <c r="AZ823" s="1183" t="s">
        <v>871</v>
      </c>
      <c r="BA823" s="1172">
        <v>2</v>
      </c>
      <c r="BB823" s="1152">
        <v>0.99</v>
      </c>
      <c r="BC823" s="1097">
        <v>6.5</v>
      </c>
      <c r="BD823" s="1061">
        <v>700</v>
      </c>
      <c r="BE823" s="1061">
        <v>1200</v>
      </c>
      <c r="BF823" s="1061">
        <v>1700</v>
      </c>
      <c r="BG823" s="1061">
        <v>2000</v>
      </c>
      <c r="BH823" s="1061">
        <v>2500</v>
      </c>
      <c r="BI823" s="1061">
        <v>3000</v>
      </c>
      <c r="BJ823" s="1060" t="s">
        <v>1320</v>
      </c>
      <c r="BL823" s="1060" t="s">
        <v>1329</v>
      </c>
      <c r="BN823" s="1182"/>
      <c r="BO823" s="1060" t="s">
        <v>1548</v>
      </c>
      <c r="BW823" s="1181"/>
    </row>
    <row r="824" spans="51:75">
      <c r="AY824" s="1184"/>
      <c r="AZ824" s="1183" t="s">
        <v>872</v>
      </c>
      <c r="BA824" s="1172">
        <v>2</v>
      </c>
      <c r="BB824" s="1152">
        <v>0.99</v>
      </c>
      <c r="BC824" s="1097">
        <v>6.5</v>
      </c>
      <c r="BD824" s="1061">
        <v>700</v>
      </c>
      <c r="BE824" s="1061">
        <v>1200</v>
      </c>
      <c r="BF824" s="1061">
        <v>1700</v>
      </c>
      <c r="BG824" s="1061">
        <v>2000</v>
      </c>
      <c r="BH824" s="1061">
        <v>2500</v>
      </c>
      <c r="BI824" s="1061">
        <v>3000</v>
      </c>
      <c r="BJ824" s="1060" t="s">
        <v>1320</v>
      </c>
      <c r="BL824" s="1060" t="s">
        <v>1329</v>
      </c>
      <c r="BN824" s="1182"/>
      <c r="BO824" s="1060" t="s">
        <v>1547</v>
      </c>
      <c r="BW824" s="1181"/>
    </row>
    <row r="825" spans="51:75">
      <c r="AY825" s="1184"/>
      <c r="AZ825" s="1183" t="s">
        <v>873</v>
      </c>
      <c r="BA825" s="1172">
        <v>2</v>
      </c>
      <c r="BB825" s="1152">
        <v>0.62</v>
      </c>
      <c r="BC825" s="1097">
        <v>6.5</v>
      </c>
      <c r="BD825" s="1061">
        <v>700</v>
      </c>
      <c r="BE825" s="1061">
        <v>1200</v>
      </c>
      <c r="BF825" s="1061">
        <v>1700</v>
      </c>
      <c r="BG825" s="1061">
        <v>2000</v>
      </c>
      <c r="BH825" s="1061">
        <v>2500</v>
      </c>
      <c r="BI825" s="1061">
        <v>3000</v>
      </c>
      <c r="BJ825" s="1060" t="s">
        <v>1320</v>
      </c>
      <c r="BL825" s="1060" t="s">
        <v>1329</v>
      </c>
      <c r="BN825" s="1182"/>
      <c r="BO825" s="1060" t="s">
        <v>1546</v>
      </c>
      <c r="BW825" s="1181"/>
    </row>
    <row r="826" spans="51:75">
      <c r="AY826" s="1184"/>
      <c r="AZ826" s="1183" t="s">
        <v>874</v>
      </c>
      <c r="BA826" s="1172">
        <v>2</v>
      </c>
      <c r="BB826" s="1152">
        <v>0.99</v>
      </c>
      <c r="BC826" s="1097">
        <v>6.5</v>
      </c>
      <c r="BD826" s="1061">
        <v>700</v>
      </c>
      <c r="BE826" s="1061">
        <v>1200</v>
      </c>
      <c r="BF826" s="1061">
        <v>1700</v>
      </c>
      <c r="BG826" s="1061">
        <v>2000</v>
      </c>
      <c r="BH826" s="1061">
        <v>2500</v>
      </c>
      <c r="BI826" s="1061">
        <v>3000</v>
      </c>
      <c r="BJ826" s="1060" t="s">
        <v>1320</v>
      </c>
      <c r="BL826" s="1060" t="s">
        <v>1329</v>
      </c>
      <c r="BN826" s="1182"/>
      <c r="BO826" s="1060" t="s">
        <v>1545</v>
      </c>
      <c r="BW826" s="1181"/>
    </row>
    <row r="827" spans="51:75">
      <c r="AY827" s="1184"/>
      <c r="AZ827" s="1183" t="s">
        <v>875</v>
      </c>
      <c r="BA827" s="1172">
        <v>2</v>
      </c>
      <c r="BB827" s="1152">
        <v>0.76</v>
      </c>
      <c r="BC827" s="1097">
        <v>6.5</v>
      </c>
      <c r="BD827" s="1061">
        <v>700</v>
      </c>
      <c r="BE827" s="1061">
        <v>1200</v>
      </c>
      <c r="BF827" s="1061">
        <v>1700</v>
      </c>
      <c r="BG827" s="1061">
        <v>2000</v>
      </c>
      <c r="BH827" s="1061">
        <v>2500</v>
      </c>
      <c r="BI827" s="1061">
        <v>3000</v>
      </c>
      <c r="BJ827" s="1060" t="s">
        <v>1320</v>
      </c>
      <c r="BL827" s="1060" t="s">
        <v>1329</v>
      </c>
      <c r="BN827" s="1182"/>
      <c r="BO827" s="1060" t="s">
        <v>1544</v>
      </c>
      <c r="BW827" s="1181"/>
    </row>
    <row r="828" spans="51:75">
      <c r="AY828" s="1184"/>
      <c r="AZ828" s="1183" t="s">
        <v>876</v>
      </c>
      <c r="BA828" s="1172">
        <v>2</v>
      </c>
      <c r="BB828" s="1152">
        <v>1.47</v>
      </c>
      <c r="BC828" s="1097">
        <v>7.2</v>
      </c>
      <c r="BD828" s="1061">
        <v>700</v>
      </c>
      <c r="BE828" s="1061">
        <v>1200</v>
      </c>
      <c r="BF828" s="1061">
        <v>1700</v>
      </c>
      <c r="BG828" s="1061">
        <v>2000</v>
      </c>
      <c r="BH828" s="1061">
        <v>2500</v>
      </c>
      <c r="BI828" s="1061">
        <v>3000</v>
      </c>
      <c r="BJ828" s="1060" t="s">
        <v>1320</v>
      </c>
      <c r="BL828" s="1060" t="s">
        <v>1329</v>
      </c>
      <c r="BN828" s="1182"/>
      <c r="BO828" s="1060" t="s">
        <v>1543</v>
      </c>
      <c r="BW828" s="1181"/>
    </row>
    <row r="829" spans="51:75">
      <c r="AY829" s="1184"/>
      <c r="AZ829" s="1183" t="s">
        <v>877</v>
      </c>
      <c r="BA829" s="1172">
        <v>2</v>
      </c>
      <c r="BB829" s="1152">
        <v>0.63</v>
      </c>
      <c r="BC829" s="1097">
        <v>6.5</v>
      </c>
      <c r="BD829" s="1061">
        <v>700</v>
      </c>
      <c r="BE829" s="1061">
        <v>1200</v>
      </c>
      <c r="BF829" s="1061">
        <v>1700</v>
      </c>
      <c r="BG829" s="1061">
        <v>2000</v>
      </c>
      <c r="BH829" s="1061">
        <v>2500</v>
      </c>
      <c r="BI829" s="1061">
        <v>3000</v>
      </c>
      <c r="BJ829" s="1060" t="s">
        <v>1320</v>
      </c>
      <c r="BL829" s="1060" t="s">
        <v>1329</v>
      </c>
      <c r="BN829" s="1182"/>
      <c r="BO829" s="1060" t="s">
        <v>1542</v>
      </c>
      <c r="BW829" s="1181"/>
    </row>
    <row r="830" spans="51:75">
      <c r="AY830" s="1184"/>
      <c r="AZ830" s="1183" t="s">
        <v>1190</v>
      </c>
      <c r="BA830" s="1172">
        <v>8</v>
      </c>
      <c r="BB830" s="1152">
        <v>1.41</v>
      </c>
      <c r="BC830" s="1097">
        <v>6.1</v>
      </c>
      <c r="BD830" s="1061">
        <v>3000</v>
      </c>
      <c r="BE830" s="1061">
        <v>4000</v>
      </c>
      <c r="BF830" s="1061">
        <v>5000</v>
      </c>
      <c r="BG830" s="1061">
        <v>8000</v>
      </c>
      <c r="BH830" s="1061">
        <v>11000</v>
      </c>
      <c r="BI830" s="1061">
        <v>14000</v>
      </c>
      <c r="BJ830" s="1060" t="s">
        <v>1320</v>
      </c>
      <c r="BL830" s="1060" t="s">
        <v>1390</v>
      </c>
      <c r="BN830" s="1182"/>
      <c r="BO830" s="1060" t="s">
        <v>1541</v>
      </c>
      <c r="BW830" s="1181"/>
    </row>
    <row r="831" spans="51:75">
      <c r="AY831" s="1184"/>
      <c r="AZ831" s="1183" t="s">
        <v>780</v>
      </c>
      <c r="BA831" s="1172">
        <v>1</v>
      </c>
      <c r="BB831" s="1152">
        <v>0.92</v>
      </c>
      <c r="BC831" s="1097">
        <v>8</v>
      </c>
      <c r="BD831" s="1061">
        <v>400</v>
      </c>
      <c r="BE831" s="1061">
        <v>800</v>
      </c>
      <c r="BF831" s="1061">
        <v>1200</v>
      </c>
      <c r="BG831" s="1061">
        <v>1500</v>
      </c>
      <c r="BH831" s="1061">
        <v>2000</v>
      </c>
      <c r="BI831" s="1061">
        <v>2500</v>
      </c>
      <c r="BJ831" s="1060" t="s">
        <v>1320</v>
      </c>
      <c r="BL831" s="1060" t="s">
        <v>1329</v>
      </c>
      <c r="BN831" s="1182"/>
      <c r="BO831" s="1060" t="s">
        <v>1540</v>
      </c>
      <c r="BW831" s="1181"/>
    </row>
    <row r="832" spans="51:75">
      <c r="AY832" s="1184"/>
      <c r="AZ832" s="1183" t="s">
        <v>1191</v>
      </c>
      <c r="BA832" s="1172">
        <v>9</v>
      </c>
      <c r="BB832" s="1152">
        <v>12.83</v>
      </c>
      <c r="BC832" s="1097">
        <v>6.9</v>
      </c>
      <c r="BD832" s="1061">
        <v>4000</v>
      </c>
      <c r="BE832" s="1061">
        <v>5000</v>
      </c>
      <c r="BF832" s="1061">
        <v>6000</v>
      </c>
      <c r="BG832" s="1061">
        <v>8000</v>
      </c>
      <c r="BH832" s="1061">
        <v>10000</v>
      </c>
      <c r="BI832" s="1061">
        <v>12000</v>
      </c>
      <c r="BJ832" s="1060" t="s">
        <v>1320</v>
      </c>
      <c r="BL832" s="1060" t="s">
        <v>1390</v>
      </c>
      <c r="BN832" s="1182"/>
      <c r="BO832" s="1060" t="s">
        <v>1539</v>
      </c>
      <c r="BW832" s="1181"/>
    </row>
    <row r="833" spans="51:75">
      <c r="AY833" s="1184"/>
      <c r="AZ833" s="1183" t="s">
        <v>1538</v>
      </c>
      <c r="BB833" s="1152">
        <v>83.68</v>
      </c>
      <c r="BL833" s="1060" t="s">
        <v>1537</v>
      </c>
      <c r="BN833" s="1182"/>
      <c r="BO833" s="1060" t="s">
        <v>1536</v>
      </c>
      <c r="BW833" s="1181"/>
    </row>
    <row r="834" spans="51:75">
      <c r="AY834" s="1184"/>
      <c r="AZ834" s="1183" t="s">
        <v>1089</v>
      </c>
      <c r="BA834" s="1172">
        <v>6</v>
      </c>
      <c r="BB834" s="1152">
        <v>5.93</v>
      </c>
      <c r="BC834" s="1097">
        <v>5</v>
      </c>
      <c r="BD834" s="1061">
        <v>7000</v>
      </c>
      <c r="BE834" s="1061">
        <v>9000</v>
      </c>
      <c r="BF834" s="1061">
        <v>11000</v>
      </c>
      <c r="BG834" s="1061">
        <v>15000</v>
      </c>
      <c r="BH834" s="1061">
        <v>18500</v>
      </c>
      <c r="BI834" s="1061">
        <v>22000</v>
      </c>
      <c r="BJ834" s="1060" t="s">
        <v>1348</v>
      </c>
      <c r="BL834" s="1060" t="s">
        <v>1390</v>
      </c>
      <c r="BN834" s="1182"/>
      <c r="BO834" s="1060" t="s">
        <v>1535</v>
      </c>
      <c r="BW834" s="1181"/>
    </row>
    <row r="835" spans="51:75">
      <c r="AY835" s="1184"/>
      <c r="AZ835" s="1183" t="s">
        <v>1090</v>
      </c>
      <c r="BA835" s="1172">
        <v>6</v>
      </c>
      <c r="BB835" s="1152">
        <v>8.26</v>
      </c>
      <c r="BC835" s="1097">
        <v>5</v>
      </c>
      <c r="BD835" s="1061">
        <v>7000</v>
      </c>
      <c r="BE835" s="1061">
        <v>9000</v>
      </c>
      <c r="BF835" s="1061">
        <v>11000</v>
      </c>
      <c r="BG835" s="1061">
        <v>15000</v>
      </c>
      <c r="BH835" s="1061">
        <v>18500</v>
      </c>
      <c r="BI835" s="1061">
        <v>22000</v>
      </c>
      <c r="BJ835" s="1060" t="s">
        <v>1320</v>
      </c>
      <c r="BL835" s="1060" t="s">
        <v>1333</v>
      </c>
      <c r="BN835" s="1182"/>
      <c r="BO835" s="1060" t="s">
        <v>1534</v>
      </c>
      <c r="BW835" s="1181"/>
    </row>
    <row r="836" spans="51:75">
      <c r="AY836" s="1184"/>
      <c r="AZ836" s="1183" t="s">
        <v>987</v>
      </c>
      <c r="BA836" s="1172">
        <v>3</v>
      </c>
      <c r="BB836" s="1152">
        <v>2.25</v>
      </c>
      <c r="BC836" s="1097">
        <v>6.7</v>
      </c>
      <c r="BD836" s="1061">
        <v>1000</v>
      </c>
      <c r="BE836" s="1061">
        <v>1500</v>
      </c>
      <c r="BF836" s="1061">
        <v>2000</v>
      </c>
      <c r="BG836" s="1061">
        <v>3000</v>
      </c>
      <c r="BH836" s="1061">
        <v>5000</v>
      </c>
      <c r="BI836" s="1061">
        <v>7000</v>
      </c>
      <c r="BJ836" s="1060" t="s">
        <v>1320</v>
      </c>
      <c r="BL836" s="1060" t="s">
        <v>1333</v>
      </c>
      <c r="BN836" s="1182"/>
      <c r="BO836" s="1060" t="s">
        <v>1533</v>
      </c>
      <c r="BW836" s="1181"/>
    </row>
    <row r="837" spans="51:75">
      <c r="AY837" s="1184"/>
      <c r="AZ837" s="1183" t="s">
        <v>988</v>
      </c>
      <c r="BA837" s="1172">
        <v>3</v>
      </c>
      <c r="BB837" s="1152">
        <v>2.25</v>
      </c>
      <c r="BC837" s="1097">
        <v>6.7</v>
      </c>
      <c r="BD837" s="1061">
        <v>1000</v>
      </c>
      <c r="BE837" s="1061">
        <v>1500</v>
      </c>
      <c r="BF837" s="1061">
        <v>2000</v>
      </c>
      <c r="BG837" s="1061">
        <v>3000</v>
      </c>
      <c r="BH837" s="1061">
        <v>5000</v>
      </c>
      <c r="BI837" s="1061">
        <v>7000</v>
      </c>
      <c r="BJ837" s="1060" t="s">
        <v>1320</v>
      </c>
      <c r="BL837" s="1060" t="s">
        <v>1333</v>
      </c>
      <c r="BN837" s="1182"/>
      <c r="BO837" s="1060" t="s">
        <v>1532</v>
      </c>
      <c r="BW837" s="1181"/>
    </row>
    <row r="838" spans="51:75">
      <c r="AY838" s="1184"/>
      <c r="AZ838" s="1183" t="s">
        <v>989</v>
      </c>
      <c r="BA838" s="1172">
        <v>3</v>
      </c>
      <c r="BB838" s="1152">
        <v>2.0499999999999998</v>
      </c>
      <c r="BC838" s="1097">
        <v>6.8</v>
      </c>
      <c r="BD838" s="1061">
        <v>1000</v>
      </c>
      <c r="BE838" s="1061">
        <v>1500</v>
      </c>
      <c r="BF838" s="1061">
        <v>2000</v>
      </c>
      <c r="BG838" s="1061">
        <v>3000</v>
      </c>
      <c r="BH838" s="1061">
        <v>5000</v>
      </c>
      <c r="BI838" s="1061">
        <v>7000</v>
      </c>
      <c r="BJ838" s="1060" t="s">
        <v>1320</v>
      </c>
      <c r="BL838" s="1060" t="s">
        <v>1333</v>
      </c>
      <c r="BN838" s="1182"/>
      <c r="BO838" s="1060" t="s">
        <v>1531</v>
      </c>
      <c r="BW838" s="1181"/>
    </row>
    <row r="839" spans="51:75">
      <c r="AY839" s="1184"/>
      <c r="AZ839" s="1183" t="s">
        <v>990</v>
      </c>
      <c r="BA839" s="1172">
        <v>3</v>
      </c>
      <c r="BB839" s="1152">
        <v>2.0499999999999998</v>
      </c>
      <c r="BC839" s="1097">
        <v>6.8</v>
      </c>
      <c r="BD839" s="1061">
        <v>1000</v>
      </c>
      <c r="BE839" s="1061">
        <v>1500</v>
      </c>
      <c r="BF839" s="1061">
        <v>2000</v>
      </c>
      <c r="BG839" s="1061">
        <v>3000</v>
      </c>
      <c r="BH839" s="1061">
        <v>5000</v>
      </c>
      <c r="BI839" s="1061">
        <v>7000</v>
      </c>
      <c r="BJ839" s="1060" t="s">
        <v>1320</v>
      </c>
      <c r="BL839" s="1060" t="s">
        <v>1333</v>
      </c>
      <c r="BN839" s="1182"/>
      <c r="BO839" s="1060" t="s">
        <v>1530</v>
      </c>
      <c r="BW839" s="1181"/>
    </row>
    <row r="840" spans="51:75">
      <c r="AY840" s="1184"/>
      <c r="AZ840" s="1183" t="s">
        <v>1123</v>
      </c>
      <c r="BA840" s="1172">
        <v>7</v>
      </c>
      <c r="BB840" s="1152">
        <v>1.17</v>
      </c>
      <c r="BC840" s="1097">
        <v>8.6</v>
      </c>
      <c r="BD840" s="1061">
        <v>4000</v>
      </c>
      <c r="BE840" s="1061">
        <v>5000</v>
      </c>
      <c r="BF840" s="1061">
        <v>6000</v>
      </c>
      <c r="BG840" s="1061">
        <v>8000</v>
      </c>
      <c r="BH840" s="1061">
        <v>10000</v>
      </c>
      <c r="BI840" s="1061">
        <v>12000</v>
      </c>
      <c r="BJ840" s="1060" t="s">
        <v>1320</v>
      </c>
      <c r="BL840" s="1060" t="s">
        <v>1387</v>
      </c>
      <c r="BN840" s="1182"/>
      <c r="BO840" s="1060" t="s">
        <v>1529</v>
      </c>
      <c r="BW840" s="1181"/>
    </row>
    <row r="841" spans="51:75">
      <c r="AY841" s="1184"/>
      <c r="AZ841" s="1183" t="s">
        <v>1192</v>
      </c>
      <c r="BA841" s="1172">
        <v>9</v>
      </c>
      <c r="BB841" s="1152">
        <v>8.92</v>
      </c>
      <c r="BC841" s="1097">
        <v>5.0999999999999996</v>
      </c>
      <c r="BD841" s="1061">
        <v>4000</v>
      </c>
      <c r="BE841" s="1061">
        <v>5000</v>
      </c>
      <c r="BF841" s="1061">
        <v>6000</v>
      </c>
      <c r="BG841" s="1061">
        <v>8000</v>
      </c>
      <c r="BH841" s="1061">
        <v>10000</v>
      </c>
      <c r="BI841" s="1061">
        <v>12000</v>
      </c>
      <c r="BJ841" s="1060" t="s">
        <v>1348</v>
      </c>
      <c r="BL841" s="1060" t="s">
        <v>1390</v>
      </c>
      <c r="BN841" s="1182"/>
      <c r="BO841" s="1060" t="s">
        <v>1528</v>
      </c>
      <c r="BW841" s="1181"/>
    </row>
    <row r="842" spans="51:75">
      <c r="AY842" s="1184"/>
      <c r="AZ842" s="1183" t="s">
        <v>1193</v>
      </c>
      <c r="BA842" s="1172">
        <v>9</v>
      </c>
      <c r="BB842" s="1152">
        <v>10</v>
      </c>
      <c r="BC842" s="1097">
        <v>5.3</v>
      </c>
      <c r="BD842" s="1061">
        <v>4000</v>
      </c>
      <c r="BE842" s="1061">
        <v>5000</v>
      </c>
      <c r="BF842" s="1061">
        <v>6000</v>
      </c>
      <c r="BG842" s="1061">
        <v>8000</v>
      </c>
      <c r="BH842" s="1061">
        <v>10000</v>
      </c>
      <c r="BI842" s="1061">
        <v>12000</v>
      </c>
      <c r="BJ842" s="1060" t="s">
        <v>1348</v>
      </c>
      <c r="BL842" s="1060" t="s">
        <v>1390</v>
      </c>
      <c r="BN842" s="1182"/>
      <c r="BO842" s="1060" t="s">
        <v>1527</v>
      </c>
      <c r="BW842" s="1181"/>
    </row>
    <row r="843" spans="51:75">
      <c r="AY843" s="1184"/>
      <c r="AZ843" s="1183" t="s">
        <v>879</v>
      </c>
      <c r="BA843" s="1172">
        <v>2</v>
      </c>
      <c r="BB843" s="1152">
        <v>1.26</v>
      </c>
      <c r="BC843" s="1097">
        <v>7.6</v>
      </c>
      <c r="BD843" s="1061">
        <v>700</v>
      </c>
      <c r="BE843" s="1061">
        <v>1200</v>
      </c>
      <c r="BF843" s="1061">
        <v>1700</v>
      </c>
      <c r="BG843" s="1061">
        <v>2000</v>
      </c>
      <c r="BH843" s="1061">
        <v>2500</v>
      </c>
      <c r="BI843" s="1061">
        <v>3000</v>
      </c>
      <c r="BJ843" s="1060" t="s">
        <v>1320</v>
      </c>
      <c r="BL843" s="1060" t="s">
        <v>1329</v>
      </c>
      <c r="BN843" s="1182"/>
      <c r="BO843" s="1060" t="s">
        <v>1526</v>
      </c>
      <c r="BW843" s="1181"/>
    </row>
    <row r="844" spans="51:75">
      <c r="AY844" s="1184"/>
      <c r="AZ844" s="1183" t="s">
        <v>880</v>
      </c>
      <c r="BA844" s="1172">
        <v>2</v>
      </c>
      <c r="BB844" s="1152">
        <v>1.26</v>
      </c>
      <c r="BC844" s="1097">
        <v>7.6</v>
      </c>
      <c r="BD844" s="1061">
        <v>700</v>
      </c>
      <c r="BE844" s="1061">
        <v>1200</v>
      </c>
      <c r="BF844" s="1061">
        <v>1700</v>
      </c>
      <c r="BG844" s="1061">
        <v>2000</v>
      </c>
      <c r="BH844" s="1061">
        <v>2500</v>
      </c>
      <c r="BI844" s="1061">
        <v>3000</v>
      </c>
      <c r="BJ844" s="1060" t="s">
        <v>1320</v>
      </c>
      <c r="BL844" s="1060" t="s">
        <v>1329</v>
      </c>
      <c r="BN844" s="1182"/>
      <c r="BO844" s="1060" t="s">
        <v>1525</v>
      </c>
      <c r="BW844" s="1181"/>
    </row>
    <row r="845" spans="51:75">
      <c r="AY845" s="1184"/>
      <c r="AZ845" s="1183" t="s">
        <v>881</v>
      </c>
      <c r="BA845" s="1172">
        <v>2</v>
      </c>
      <c r="BB845" s="1152">
        <v>0.96</v>
      </c>
      <c r="BC845" s="1097">
        <v>7.2</v>
      </c>
      <c r="BD845" s="1061">
        <v>700</v>
      </c>
      <c r="BE845" s="1061">
        <v>1200</v>
      </c>
      <c r="BF845" s="1061">
        <v>1700</v>
      </c>
      <c r="BG845" s="1061">
        <v>2000</v>
      </c>
      <c r="BH845" s="1061">
        <v>2500</v>
      </c>
      <c r="BI845" s="1061">
        <v>3000</v>
      </c>
      <c r="BJ845" s="1060" t="s">
        <v>1320</v>
      </c>
      <c r="BL845" s="1060" t="s">
        <v>1329</v>
      </c>
      <c r="BN845" s="1182"/>
      <c r="BO845" s="1060" t="s">
        <v>1524</v>
      </c>
      <c r="BW845" s="1181"/>
    </row>
    <row r="846" spans="51:75">
      <c r="AY846" s="1184"/>
      <c r="AZ846" s="1183" t="s">
        <v>883</v>
      </c>
      <c r="BA846" s="1172">
        <v>2</v>
      </c>
      <c r="BB846" s="1152">
        <v>0.96</v>
      </c>
      <c r="BC846" s="1097">
        <v>7.2</v>
      </c>
      <c r="BD846" s="1061">
        <v>700</v>
      </c>
      <c r="BE846" s="1061">
        <v>1200</v>
      </c>
      <c r="BF846" s="1061">
        <v>1700</v>
      </c>
      <c r="BG846" s="1061">
        <v>2000</v>
      </c>
      <c r="BH846" s="1061">
        <v>2500</v>
      </c>
      <c r="BI846" s="1061">
        <v>3000</v>
      </c>
      <c r="BJ846" s="1060" t="s">
        <v>1320</v>
      </c>
      <c r="BL846" s="1060" t="s">
        <v>1329</v>
      </c>
      <c r="BN846" s="1182"/>
      <c r="BO846" s="1060" t="s">
        <v>1523</v>
      </c>
      <c r="BW846" s="1181"/>
    </row>
    <row r="847" spans="51:75">
      <c r="AY847" s="1184"/>
      <c r="AZ847" s="1183" t="s">
        <v>1164</v>
      </c>
      <c r="BA847" s="1172">
        <v>8</v>
      </c>
      <c r="BB847" s="1152">
        <v>3.41</v>
      </c>
      <c r="BC847" s="1097">
        <v>4.8</v>
      </c>
      <c r="BD847" s="1061">
        <v>3000</v>
      </c>
      <c r="BE847" s="1061">
        <v>4000</v>
      </c>
      <c r="BF847" s="1061">
        <v>5000</v>
      </c>
      <c r="BG847" s="1061">
        <v>8000</v>
      </c>
      <c r="BH847" s="1061">
        <v>11000</v>
      </c>
      <c r="BI847" s="1061">
        <v>14000</v>
      </c>
      <c r="BJ847" s="1060" t="s">
        <v>1348</v>
      </c>
      <c r="BL847" s="1060" t="s">
        <v>1522</v>
      </c>
      <c r="BN847" s="1182"/>
      <c r="BO847" s="1060" t="s">
        <v>1521</v>
      </c>
      <c r="BW847" s="1181"/>
    </row>
    <row r="848" spans="51:75">
      <c r="AY848" s="1184"/>
      <c r="AZ848" s="1183" t="s">
        <v>1520</v>
      </c>
      <c r="BA848" s="1172">
        <v>6</v>
      </c>
      <c r="BB848" s="1152">
        <v>4.58</v>
      </c>
      <c r="BC848" s="1097">
        <v>5.0999999999999996</v>
      </c>
      <c r="BD848" s="1061">
        <v>7000</v>
      </c>
      <c r="BE848" s="1061">
        <v>9000</v>
      </c>
      <c r="BF848" s="1061">
        <v>11000</v>
      </c>
      <c r="BG848" s="1061">
        <v>15000</v>
      </c>
      <c r="BH848" s="1061">
        <v>18500</v>
      </c>
      <c r="BI848" s="1061">
        <v>22000</v>
      </c>
      <c r="BJ848" s="1060" t="s">
        <v>1348</v>
      </c>
      <c r="BL848" s="1060" t="s">
        <v>1333</v>
      </c>
      <c r="BN848" s="1182"/>
      <c r="BO848" s="1060" t="s">
        <v>1519</v>
      </c>
      <c r="BW848" s="1181"/>
    </row>
    <row r="849" spans="51:75">
      <c r="AY849" s="1184"/>
      <c r="AZ849" s="1183" t="s">
        <v>1091</v>
      </c>
      <c r="BA849" s="1172">
        <v>6</v>
      </c>
      <c r="BB849" s="1152">
        <v>3.27</v>
      </c>
      <c r="BC849" s="1097">
        <v>5.3</v>
      </c>
      <c r="BD849" s="1061">
        <v>7000</v>
      </c>
      <c r="BE849" s="1061">
        <v>9000</v>
      </c>
      <c r="BF849" s="1061">
        <v>11000</v>
      </c>
      <c r="BG849" s="1061">
        <v>15000</v>
      </c>
      <c r="BH849" s="1061">
        <v>18500</v>
      </c>
      <c r="BI849" s="1061">
        <v>22000</v>
      </c>
      <c r="BJ849" s="1060" t="s">
        <v>1348</v>
      </c>
      <c r="BL849" s="1060" t="s">
        <v>1324</v>
      </c>
      <c r="BN849" s="1182"/>
      <c r="BO849" s="1060" t="s">
        <v>1518</v>
      </c>
      <c r="BW849" s="1181"/>
    </row>
    <row r="850" spans="51:75">
      <c r="AY850" s="1184"/>
      <c r="AZ850" s="1183" t="s">
        <v>1092</v>
      </c>
      <c r="BA850" s="1172">
        <v>6</v>
      </c>
      <c r="BB850" s="1152">
        <v>4.58</v>
      </c>
      <c r="BC850" s="1097">
        <v>5.0999999999999996</v>
      </c>
      <c r="BD850" s="1061">
        <v>7000</v>
      </c>
      <c r="BE850" s="1061">
        <v>9000</v>
      </c>
      <c r="BF850" s="1061">
        <v>11000</v>
      </c>
      <c r="BG850" s="1061">
        <v>15000</v>
      </c>
      <c r="BH850" s="1061">
        <v>18500</v>
      </c>
      <c r="BI850" s="1061">
        <v>22000</v>
      </c>
      <c r="BJ850" s="1060" t="s">
        <v>1348</v>
      </c>
      <c r="BL850" s="1060" t="s">
        <v>1333</v>
      </c>
      <c r="BN850" s="1182"/>
      <c r="BO850" s="1060" t="s">
        <v>1517</v>
      </c>
      <c r="BW850" s="1181"/>
    </row>
    <row r="851" spans="51:75">
      <c r="AY851" s="1184"/>
      <c r="AZ851" s="1183" t="s">
        <v>1093</v>
      </c>
      <c r="BA851" s="1172">
        <v>6</v>
      </c>
      <c r="BB851" s="1152">
        <v>4.58</v>
      </c>
      <c r="BC851" s="1097">
        <v>5.0999999999999996</v>
      </c>
      <c r="BD851" s="1061">
        <v>7000</v>
      </c>
      <c r="BE851" s="1061">
        <v>9000</v>
      </c>
      <c r="BF851" s="1061">
        <v>11000</v>
      </c>
      <c r="BG851" s="1061">
        <v>15000</v>
      </c>
      <c r="BH851" s="1061">
        <v>18500</v>
      </c>
      <c r="BI851" s="1061">
        <v>22000</v>
      </c>
      <c r="BJ851" s="1060" t="s">
        <v>1348</v>
      </c>
      <c r="BL851" s="1060" t="s">
        <v>1333</v>
      </c>
      <c r="BN851" s="1182"/>
      <c r="BO851" s="1060" t="s">
        <v>1516</v>
      </c>
      <c r="BW851" s="1181"/>
    </row>
    <row r="852" spans="51:75">
      <c r="AY852" s="1184"/>
      <c r="AZ852" s="1183" t="s">
        <v>1231</v>
      </c>
      <c r="BA852" s="1172">
        <v>12</v>
      </c>
      <c r="BB852" s="1152">
        <v>8.51</v>
      </c>
      <c r="BC852" s="1097">
        <v>6.3</v>
      </c>
      <c r="BD852" s="1061">
        <v>2200</v>
      </c>
      <c r="BE852" s="1061">
        <v>2850</v>
      </c>
      <c r="BF852" s="1061">
        <v>3500</v>
      </c>
      <c r="BG852" s="1061">
        <v>4200</v>
      </c>
      <c r="BH852" s="1061">
        <v>6100</v>
      </c>
      <c r="BI852" s="1061">
        <v>8000</v>
      </c>
      <c r="BJ852" s="1060" t="s">
        <v>1348</v>
      </c>
      <c r="BL852" s="1060" t="s">
        <v>1324</v>
      </c>
      <c r="BN852" s="1182"/>
      <c r="BO852" s="1060" t="s">
        <v>1515</v>
      </c>
      <c r="BW852" s="1181"/>
    </row>
    <row r="853" spans="51:75">
      <c r="AY853" s="1184"/>
      <c r="AZ853" s="1183" t="s">
        <v>1232</v>
      </c>
      <c r="BA853" s="1172">
        <v>12</v>
      </c>
      <c r="BB853" s="1152">
        <v>8.51</v>
      </c>
      <c r="BC853" s="1097">
        <v>6.3</v>
      </c>
      <c r="BD853" s="1061">
        <v>2200</v>
      </c>
      <c r="BE853" s="1061">
        <v>2850</v>
      </c>
      <c r="BF853" s="1061">
        <v>3500</v>
      </c>
      <c r="BG853" s="1061">
        <v>4200</v>
      </c>
      <c r="BH853" s="1061">
        <v>6100</v>
      </c>
      <c r="BI853" s="1061">
        <v>8000</v>
      </c>
      <c r="BJ853" s="1060" t="s">
        <v>1348</v>
      </c>
      <c r="BL853" s="1060" t="s">
        <v>1324</v>
      </c>
      <c r="BN853" s="1182"/>
      <c r="BO853" s="1060" t="s">
        <v>1514</v>
      </c>
      <c r="BW853" s="1181"/>
    </row>
    <row r="854" spans="51:75">
      <c r="AY854" s="1184"/>
      <c r="AZ854" s="1183" t="s">
        <v>1233</v>
      </c>
      <c r="BA854" s="1172">
        <v>12</v>
      </c>
      <c r="BB854" s="1152">
        <v>8.51</v>
      </c>
      <c r="BC854" s="1097">
        <v>6.3</v>
      </c>
      <c r="BD854" s="1061">
        <v>2200</v>
      </c>
      <c r="BE854" s="1061">
        <v>2850</v>
      </c>
      <c r="BF854" s="1061">
        <v>3500</v>
      </c>
      <c r="BG854" s="1061">
        <v>4200</v>
      </c>
      <c r="BH854" s="1061">
        <v>6100</v>
      </c>
      <c r="BI854" s="1061">
        <v>8000</v>
      </c>
      <c r="BJ854" s="1060" t="s">
        <v>1348</v>
      </c>
      <c r="BL854" s="1060" t="s">
        <v>1324</v>
      </c>
      <c r="BN854" s="1182"/>
      <c r="BO854" s="1060" t="s">
        <v>1513</v>
      </c>
      <c r="BW854" s="1181"/>
    </row>
    <row r="855" spans="51:75">
      <c r="AY855" s="1184"/>
      <c r="AZ855" s="1183" t="s">
        <v>1512</v>
      </c>
      <c r="BB855" s="1152">
        <v>7.24</v>
      </c>
      <c r="BC855" s="1097">
        <v>4.5999999999999996</v>
      </c>
      <c r="BJ855" s="1060" t="s">
        <v>1348</v>
      </c>
      <c r="BL855" s="1060" t="s">
        <v>1387</v>
      </c>
      <c r="BN855" s="1182"/>
      <c r="BO855" s="1060" t="s">
        <v>1511</v>
      </c>
      <c r="BW855" s="1181"/>
    </row>
    <row r="856" spans="51:75">
      <c r="AY856" s="1184"/>
      <c r="AZ856" s="1183" t="s">
        <v>1194</v>
      </c>
      <c r="BA856" s="1172">
        <v>9</v>
      </c>
      <c r="BB856" s="1152">
        <v>37.5</v>
      </c>
      <c r="BC856" s="1097">
        <v>4.8</v>
      </c>
      <c r="BD856" s="1061">
        <v>4000</v>
      </c>
      <c r="BE856" s="1061">
        <v>5000</v>
      </c>
      <c r="BF856" s="1061">
        <v>6000</v>
      </c>
      <c r="BG856" s="1061">
        <v>8000</v>
      </c>
      <c r="BH856" s="1061">
        <v>10000</v>
      </c>
      <c r="BI856" s="1061">
        <v>12000</v>
      </c>
      <c r="BJ856" s="1060" t="s">
        <v>1320</v>
      </c>
      <c r="BL856" s="1060" t="s">
        <v>1390</v>
      </c>
      <c r="BN856" s="1182"/>
      <c r="BO856" s="1060" t="s">
        <v>1510</v>
      </c>
      <c r="BW856" s="1181"/>
    </row>
    <row r="857" spans="51:75">
      <c r="AY857" s="1184"/>
      <c r="AZ857" s="1183" t="s">
        <v>1165</v>
      </c>
      <c r="BA857" s="1172">
        <v>8</v>
      </c>
      <c r="BB857" s="1152">
        <v>2.67</v>
      </c>
      <c r="BC857" s="1097">
        <v>5</v>
      </c>
      <c r="BD857" s="1061">
        <v>3000</v>
      </c>
      <c r="BE857" s="1061">
        <v>4000</v>
      </c>
      <c r="BF857" s="1061">
        <v>5000</v>
      </c>
      <c r="BG857" s="1061">
        <v>8000</v>
      </c>
      <c r="BH857" s="1061">
        <v>11000</v>
      </c>
      <c r="BI857" s="1061">
        <v>14000</v>
      </c>
      <c r="BJ857" s="1060" t="s">
        <v>1348</v>
      </c>
      <c r="BL857" s="1060" t="s">
        <v>1390</v>
      </c>
      <c r="BN857" s="1182"/>
      <c r="BO857" s="1060" t="s">
        <v>1509</v>
      </c>
      <c r="BW857" s="1181"/>
    </row>
    <row r="858" spans="51:75">
      <c r="AY858" s="1184"/>
      <c r="AZ858" s="1183" t="s">
        <v>1166</v>
      </c>
      <c r="BA858" s="1172">
        <v>8</v>
      </c>
      <c r="BB858" s="1152">
        <v>2.67</v>
      </c>
      <c r="BC858" s="1097">
        <v>5</v>
      </c>
      <c r="BD858" s="1061">
        <v>3000</v>
      </c>
      <c r="BE858" s="1061">
        <v>4000</v>
      </c>
      <c r="BF858" s="1061">
        <v>5000</v>
      </c>
      <c r="BG858" s="1061">
        <v>8000</v>
      </c>
      <c r="BH858" s="1061">
        <v>11000</v>
      </c>
      <c r="BI858" s="1061">
        <v>14000</v>
      </c>
      <c r="BJ858" s="1060" t="s">
        <v>1348</v>
      </c>
      <c r="BL858" s="1060" t="s">
        <v>1390</v>
      </c>
      <c r="BN858" s="1182"/>
      <c r="BO858" s="1060" t="s">
        <v>1508</v>
      </c>
      <c r="BW858" s="1181"/>
    </row>
    <row r="859" spans="51:75">
      <c r="AY859" s="1184"/>
      <c r="AZ859" s="1183" t="s">
        <v>991</v>
      </c>
      <c r="BA859" s="1172">
        <v>3</v>
      </c>
      <c r="BB859" s="1152">
        <v>2.0099999999999998</v>
      </c>
      <c r="BC859" s="1097">
        <v>7.6</v>
      </c>
      <c r="BD859" s="1061">
        <v>1000</v>
      </c>
      <c r="BE859" s="1061">
        <v>1500</v>
      </c>
      <c r="BF859" s="1061">
        <v>2000</v>
      </c>
      <c r="BG859" s="1061">
        <v>3000</v>
      </c>
      <c r="BH859" s="1061">
        <v>5000</v>
      </c>
      <c r="BI859" s="1061">
        <v>7000</v>
      </c>
      <c r="BJ859" s="1060" t="s">
        <v>1320</v>
      </c>
      <c r="BL859" s="1060" t="s">
        <v>1505</v>
      </c>
      <c r="BN859" s="1182"/>
      <c r="BO859" s="1060" t="s">
        <v>1507</v>
      </c>
      <c r="BW859" s="1181"/>
    </row>
    <row r="860" spans="51:75">
      <c r="AY860" s="1184"/>
      <c r="AZ860" s="1183" t="s">
        <v>992</v>
      </c>
      <c r="BA860" s="1172">
        <v>3</v>
      </c>
      <c r="BB860" s="1152">
        <v>2.0099999999999998</v>
      </c>
      <c r="BC860" s="1097">
        <v>7.6</v>
      </c>
      <c r="BD860" s="1061">
        <v>1000</v>
      </c>
      <c r="BE860" s="1061">
        <v>1500</v>
      </c>
      <c r="BF860" s="1061">
        <v>2000</v>
      </c>
      <c r="BG860" s="1061">
        <v>3000</v>
      </c>
      <c r="BH860" s="1061">
        <v>5000</v>
      </c>
      <c r="BI860" s="1061">
        <v>7000</v>
      </c>
      <c r="BJ860" s="1060" t="s">
        <v>1320</v>
      </c>
      <c r="BL860" s="1060" t="s">
        <v>1505</v>
      </c>
      <c r="BN860" s="1182"/>
      <c r="BO860" s="1060" t="s">
        <v>1506</v>
      </c>
      <c r="BW860" s="1181"/>
    </row>
    <row r="861" spans="51:75">
      <c r="AY861" s="1184"/>
      <c r="AZ861" s="1183" t="s">
        <v>993</v>
      </c>
      <c r="BA861" s="1172">
        <v>3</v>
      </c>
      <c r="BB861" s="1152">
        <v>1.88</v>
      </c>
      <c r="BC861" s="1097">
        <v>7.6</v>
      </c>
      <c r="BD861" s="1061">
        <v>1000</v>
      </c>
      <c r="BE861" s="1061">
        <v>1500</v>
      </c>
      <c r="BF861" s="1061">
        <v>2000</v>
      </c>
      <c r="BG861" s="1061">
        <v>3000</v>
      </c>
      <c r="BH861" s="1061">
        <v>5000</v>
      </c>
      <c r="BI861" s="1061">
        <v>7000</v>
      </c>
      <c r="BJ861" s="1060" t="s">
        <v>1320</v>
      </c>
      <c r="BL861" s="1060" t="s">
        <v>1505</v>
      </c>
      <c r="BN861" s="1182"/>
      <c r="BO861" s="1060" t="s">
        <v>1504</v>
      </c>
      <c r="BW861" s="1181"/>
    </row>
    <row r="862" spans="51:75">
      <c r="AY862" s="1184"/>
      <c r="AZ862" s="1183" t="s">
        <v>885</v>
      </c>
      <c r="BA862" s="1172">
        <v>2</v>
      </c>
      <c r="BB862" s="1152">
        <v>1.1299999999999999</v>
      </c>
      <c r="BC862" s="1097">
        <v>5.5</v>
      </c>
      <c r="BD862" s="1061">
        <v>700</v>
      </c>
      <c r="BE862" s="1061">
        <v>1200</v>
      </c>
      <c r="BF862" s="1061">
        <v>1700</v>
      </c>
      <c r="BG862" s="1061">
        <v>2000</v>
      </c>
      <c r="BH862" s="1061">
        <v>2500</v>
      </c>
      <c r="BI862" s="1061">
        <v>3000</v>
      </c>
      <c r="BJ862" s="1060" t="s">
        <v>1320</v>
      </c>
      <c r="BL862" s="1060" t="s">
        <v>1333</v>
      </c>
      <c r="BN862" s="1182"/>
      <c r="BO862" s="1060" t="s">
        <v>1503</v>
      </c>
      <c r="BW862" s="1181"/>
    </row>
    <row r="863" spans="51:75">
      <c r="AY863" s="1184"/>
      <c r="AZ863" s="1183" t="s">
        <v>887</v>
      </c>
      <c r="BA863" s="1172">
        <v>2</v>
      </c>
      <c r="BB863" s="1152">
        <v>1.1299999999999999</v>
      </c>
      <c r="BC863" s="1097">
        <v>5.5</v>
      </c>
      <c r="BD863" s="1061">
        <v>700</v>
      </c>
      <c r="BE863" s="1061">
        <v>1200</v>
      </c>
      <c r="BF863" s="1061">
        <v>1700</v>
      </c>
      <c r="BG863" s="1061">
        <v>2000</v>
      </c>
      <c r="BH863" s="1061">
        <v>2500</v>
      </c>
      <c r="BI863" s="1061">
        <v>3000</v>
      </c>
      <c r="BJ863" s="1060" t="s">
        <v>1320</v>
      </c>
      <c r="BL863" s="1060" t="s">
        <v>1333</v>
      </c>
      <c r="BN863" s="1182"/>
      <c r="BO863" s="1060" t="s">
        <v>1502</v>
      </c>
      <c r="BW863" s="1181"/>
    </row>
    <row r="864" spans="51:75">
      <c r="AY864" s="1184"/>
      <c r="AZ864" s="1183" t="s">
        <v>1167</v>
      </c>
      <c r="BA864" s="1172">
        <v>8</v>
      </c>
      <c r="BB864" s="1152">
        <v>1.83</v>
      </c>
      <c r="BC864" s="1097">
        <v>5.3</v>
      </c>
      <c r="BD864" s="1061">
        <v>3000</v>
      </c>
      <c r="BE864" s="1061">
        <v>4000</v>
      </c>
      <c r="BF864" s="1061">
        <v>5000</v>
      </c>
      <c r="BG864" s="1061">
        <v>8000</v>
      </c>
      <c r="BH864" s="1061">
        <v>11000</v>
      </c>
      <c r="BI864" s="1061">
        <v>14000</v>
      </c>
      <c r="BJ864" s="1060" t="s">
        <v>1320</v>
      </c>
      <c r="BL864" s="1060" t="s">
        <v>1333</v>
      </c>
      <c r="BN864" s="1182"/>
      <c r="BO864" s="1060" t="s">
        <v>1501</v>
      </c>
      <c r="BW864" s="1181"/>
    </row>
    <row r="865" spans="51:75">
      <c r="AY865" s="1184"/>
      <c r="AZ865" s="1183" t="s">
        <v>1168</v>
      </c>
      <c r="BA865" s="1172">
        <v>8</v>
      </c>
      <c r="BB865" s="1152">
        <v>1.83</v>
      </c>
      <c r="BC865" s="1097">
        <v>5.3</v>
      </c>
      <c r="BD865" s="1061">
        <v>3000</v>
      </c>
      <c r="BE865" s="1061">
        <v>4000</v>
      </c>
      <c r="BF865" s="1061">
        <v>5000</v>
      </c>
      <c r="BG865" s="1061">
        <v>8000</v>
      </c>
      <c r="BH865" s="1061">
        <v>11000</v>
      </c>
      <c r="BI865" s="1061">
        <v>14000</v>
      </c>
      <c r="BJ865" s="1060" t="s">
        <v>1320</v>
      </c>
      <c r="BL865" s="1060" t="s">
        <v>1333</v>
      </c>
      <c r="BN865" s="1182"/>
      <c r="BO865" s="1060" t="s">
        <v>1500</v>
      </c>
      <c r="BW865" s="1181"/>
    </row>
    <row r="866" spans="51:75">
      <c r="AY866" s="1184"/>
      <c r="AZ866" s="1183" t="s">
        <v>1169</v>
      </c>
      <c r="BA866" s="1172">
        <v>8</v>
      </c>
      <c r="BB866" s="1152">
        <v>1.83</v>
      </c>
      <c r="BC866" s="1097">
        <v>5.3</v>
      </c>
      <c r="BD866" s="1061">
        <v>3000</v>
      </c>
      <c r="BE866" s="1061">
        <v>4000</v>
      </c>
      <c r="BF866" s="1061">
        <v>5000</v>
      </c>
      <c r="BG866" s="1061">
        <v>8000</v>
      </c>
      <c r="BH866" s="1061">
        <v>11000</v>
      </c>
      <c r="BI866" s="1061">
        <v>14000</v>
      </c>
      <c r="BJ866" s="1060" t="s">
        <v>1320</v>
      </c>
      <c r="BL866" s="1060" t="s">
        <v>1333</v>
      </c>
      <c r="BN866" s="1182"/>
      <c r="BO866" s="1060" t="s">
        <v>1499</v>
      </c>
      <c r="BW866" s="1181"/>
    </row>
    <row r="867" spans="51:75">
      <c r="AY867" s="1184"/>
      <c r="AZ867" s="1183" t="s">
        <v>1170</v>
      </c>
      <c r="BA867" s="1172">
        <v>8</v>
      </c>
      <c r="BB867" s="1152">
        <v>1.83</v>
      </c>
      <c r="BC867" s="1097">
        <v>5.3</v>
      </c>
      <c r="BD867" s="1061">
        <v>3000</v>
      </c>
      <c r="BE867" s="1061">
        <v>4000</v>
      </c>
      <c r="BF867" s="1061">
        <v>5000</v>
      </c>
      <c r="BG867" s="1061">
        <v>8000</v>
      </c>
      <c r="BH867" s="1061">
        <v>11000</v>
      </c>
      <c r="BI867" s="1061">
        <v>14000</v>
      </c>
      <c r="BJ867" s="1060" t="s">
        <v>1320</v>
      </c>
      <c r="BL867" s="1060" t="s">
        <v>1333</v>
      </c>
      <c r="BN867" s="1182"/>
      <c r="BO867" s="1060" t="s">
        <v>1498</v>
      </c>
      <c r="BW867" s="1181"/>
    </row>
    <row r="868" spans="51:75">
      <c r="AY868" s="1184"/>
      <c r="AZ868" s="1183" t="s">
        <v>1171</v>
      </c>
      <c r="BA868" s="1172">
        <v>8</v>
      </c>
      <c r="BB868" s="1152">
        <v>1.83</v>
      </c>
      <c r="BC868" s="1097">
        <v>5.3</v>
      </c>
      <c r="BD868" s="1061">
        <v>3000</v>
      </c>
      <c r="BE868" s="1061">
        <v>4000</v>
      </c>
      <c r="BF868" s="1061">
        <v>5000</v>
      </c>
      <c r="BG868" s="1061">
        <v>8000</v>
      </c>
      <c r="BH868" s="1061">
        <v>11000</v>
      </c>
      <c r="BI868" s="1061">
        <v>14000</v>
      </c>
      <c r="BJ868" s="1060" t="s">
        <v>1320</v>
      </c>
      <c r="BL868" s="1060" t="s">
        <v>1333</v>
      </c>
      <c r="BN868" s="1182"/>
      <c r="BO868" s="1060" t="s">
        <v>1497</v>
      </c>
      <c r="BW868" s="1181"/>
    </row>
    <row r="869" spans="51:75">
      <c r="AY869" s="1184"/>
      <c r="AZ869" s="1183" t="s">
        <v>1173</v>
      </c>
      <c r="BA869" s="1172">
        <v>8</v>
      </c>
      <c r="BB869" s="1152">
        <v>3.21</v>
      </c>
      <c r="BC869" s="1097">
        <v>4.5</v>
      </c>
      <c r="BD869" s="1061">
        <v>3000</v>
      </c>
      <c r="BE869" s="1061">
        <v>4000</v>
      </c>
      <c r="BF869" s="1061">
        <v>5000</v>
      </c>
      <c r="BG869" s="1061">
        <v>8000</v>
      </c>
      <c r="BH869" s="1061">
        <v>11000</v>
      </c>
      <c r="BI869" s="1061">
        <v>14000</v>
      </c>
      <c r="BJ869" s="1060" t="s">
        <v>1320</v>
      </c>
      <c r="BL869" s="1060" t="s">
        <v>1324</v>
      </c>
      <c r="BN869" s="1182"/>
      <c r="BO869" s="1060" t="s">
        <v>1496</v>
      </c>
      <c r="BW869" s="1181"/>
    </row>
    <row r="870" spans="51:75">
      <c r="AY870" s="1184"/>
      <c r="AZ870" s="1183" t="s">
        <v>1174</v>
      </c>
      <c r="BA870" s="1172">
        <v>8</v>
      </c>
      <c r="BB870" s="1152">
        <v>3.21</v>
      </c>
      <c r="BC870" s="1097">
        <v>4.5</v>
      </c>
      <c r="BD870" s="1061">
        <v>3000</v>
      </c>
      <c r="BE870" s="1061">
        <v>4000</v>
      </c>
      <c r="BF870" s="1061">
        <v>5000</v>
      </c>
      <c r="BG870" s="1061">
        <v>8000</v>
      </c>
      <c r="BH870" s="1061">
        <v>11000</v>
      </c>
      <c r="BI870" s="1061">
        <v>14000</v>
      </c>
      <c r="BJ870" s="1060" t="s">
        <v>1320</v>
      </c>
      <c r="BL870" s="1060" t="s">
        <v>1324</v>
      </c>
      <c r="BN870" s="1182"/>
      <c r="BO870" s="1060" t="s">
        <v>1495</v>
      </c>
      <c r="BW870" s="1181"/>
    </row>
    <row r="871" spans="51:75">
      <c r="AY871" s="1184"/>
      <c r="AZ871" s="1183" t="s">
        <v>1175</v>
      </c>
      <c r="BA871" s="1172">
        <v>8</v>
      </c>
      <c r="BB871" s="1152">
        <v>3.21</v>
      </c>
      <c r="BC871" s="1097">
        <v>4.5</v>
      </c>
      <c r="BD871" s="1061">
        <v>3000</v>
      </c>
      <c r="BE871" s="1061">
        <v>4000</v>
      </c>
      <c r="BF871" s="1061">
        <v>5000</v>
      </c>
      <c r="BG871" s="1061">
        <v>8000</v>
      </c>
      <c r="BH871" s="1061">
        <v>11000</v>
      </c>
      <c r="BI871" s="1061">
        <v>14000</v>
      </c>
      <c r="BJ871" s="1060" t="s">
        <v>1320</v>
      </c>
      <c r="BL871" s="1060" t="s">
        <v>1324</v>
      </c>
      <c r="BN871" s="1182"/>
      <c r="BO871" s="1060" t="s">
        <v>1494</v>
      </c>
      <c r="BW871" s="1181"/>
    </row>
    <row r="872" spans="51:75">
      <c r="AY872" s="1184"/>
      <c r="AZ872" s="1183" t="s">
        <v>1234</v>
      </c>
      <c r="BA872" s="1172">
        <v>12</v>
      </c>
      <c r="BB872" s="1152">
        <v>1.04</v>
      </c>
      <c r="BC872" s="1097">
        <v>5.0999999999999996</v>
      </c>
      <c r="BD872" s="1061">
        <v>2200</v>
      </c>
      <c r="BE872" s="1061">
        <v>2850</v>
      </c>
      <c r="BF872" s="1061">
        <v>3500</v>
      </c>
      <c r="BG872" s="1061">
        <v>4200</v>
      </c>
      <c r="BH872" s="1061">
        <v>6100</v>
      </c>
      <c r="BI872" s="1061">
        <v>8000</v>
      </c>
      <c r="BJ872" s="1060" t="s">
        <v>1348</v>
      </c>
      <c r="BL872" s="1060" t="s">
        <v>1390</v>
      </c>
      <c r="BN872" s="1182"/>
      <c r="BO872" s="1060" t="s">
        <v>1493</v>
      </c>
      <c r="BW872" s="1181"/>
    </row>
    <row r="873" spans="51:75">
      <c r="AY873" s="1184"/>
      <c r="AZ873" s="1183" t="s">
        <v>1235</v>
      </c>
      <c r="BA873" s="1172">
        <v>12</v>
      </c>
      <c r="BB873" s="1152">
        <v>1.38</v>
      </c>
      <c r="BC873" s="1097">
        <v>5.0999999999999996</v>
      </c>
      <c r="BD873" s="1061">
        <v>2200</v>
      </c>
      <c r="BE873" s="1061">
        <v>2850</v>
      </c>
      <c r="BF873" s="1061">
        <v>3500</v>
      </c>
      <c r="BG873" s="1061">
        <v>4200</v>
      </c>
      <c r="BH873" s="1061">
        <v>6100</v>
      </c>
      <c r="BI873" s="1061">
        <v>8000</v>
      </c>
      <c r="BJ873" s="1060" t="s">
        <v>1348</v>
      </c>
      <c r="BL873" s="1060" t="s">
        <v>1390</v>
      </c>
      <c r="BN873" s="1182"/>
      <c r="BO873" s="1060" t="s">
        <v>1492</v>
      </c>
      <c r="BW873" s="1181"/>
    </row>
    <row r="874" spans="51:75">
      <c r="AY874" s="1184"/>
      <c r="AZ874" s="1183" t="s">
        <v>1124</v>
      </c>
      <c r="BA874" s="1172">
        <v>7</v>
      </c>
      <c r="BB874" s="1152">
        <v>20.079999999999998</v>
      </c>
      <c r="BC874" s="1097">
        <v>7.5</v>
      </c>
      <c r="BD874" s="1061">
        <v>4000</v>
      </c>
      <c r="BE874" s="1061">
        <v>5000</v>
      </c>
      <c r="BF874" s="1061">
        <v>6000</v>
      </c>
      <c r="BG874" s="1061">
        <v>8000</v>
      </c>
      <c r="BH874" s="1061">
        <v>10000</v>
      </c>
      <c r="BI874" s="1061">
        <v>12000</v>
      </c>
      <c r="BJ874" s="1060" t="s">
        <v>1320</v>
      </c>
      <c r="BL874" s="1060" t="s">
        <v>1387</v>
      </c>
      <c r="BN874" s="1182"/>
      <c r="BO874" s="1060" t="s">
        <v>1491</v>
      </c>
      <c r="BW874" s="1181"/>
    </row>
    <row r="875" spans="51:75">
      <c r="AY875" s="1184"/>
      <c r="AZ875" s="1183" t="s">
        <v>889</v>
      </c>
      <c r="BA875" s="1172">
        <v>2</v>
      </c>
      <c r="BB875" s="1152">
        <v>1.54</v>
      </c>
      <c r="BC875" s="1097">
        <v>5.6</v>
      </c>
      <c r="BD875" s="1061">
        <v>700</v>
      </c>
      <c r="BE875" s="1061">
        <v>1200</v>
      </c>
      <c r="BF875" s="1061">
        <v>1700</v>
      </c>
      <c r="BG875" s="1061">
        <v>2000</v>
      </c>
      <c r="BH875" s="1061">
        <v>2500</v>
      </c>
      <c r="BI875" s="1061">
        <v>3000</v>
      </c>
      <c r="BJ875" s="1060" t="s">
        <v>1320</v>
      </c>
      <c r="BL875" s="1060" t="s">
        <v>1333</v>
      </c>
      <c r="BN875" s="1182"/>
      <c r="BO875" s="1060" t="s">
        <v>1490</v>
      </c>
      <c r="BW875" s="1181"/>
    </row>
    <row r="876" spans="51:75">
      <c r="AY876" s="1184"/>
      <c r="AZ876" s="1183" t="s">
        <v>1212</v>
      </c>
      <c r="BA876" s="1172">
        <v>10</v>
      </c>
      <c r="BB876" s="1152">
        <v>1.26</v>
      </c>
      <c r="BC876" s="1097">
        <v>5.5</v>
      </c>
      <c r="BD876" s="1061">
        <v>7000</v>
      </c>
      <c r="BE876" s="1061">
        <v>9000</v>
      </c>
      <c r="BF876" s="1061">
        <v>11000</v>
      </c>
      <c r="BG876" s="1061">
        <v>14000</v>
      </c>
      <c r="BH876" s="1061">
        <v>18000</v>
      </c>
      <c r="BI876" s="1061">
        <v>20000</v>
      </c>
      <c r="BJ876" s="1060" t="s">
        <v>1320</v>
      </c>
      <c r="BL876" s="1060" t="s">
        <v>1329</v>
      </c>
      <c r="BN876" s="1182"/>
      <c r="BO876" s="1060" t="s">
        <v>1489</v>
      </c>
      <c r="BW876" s="1181"/>
    </row>
    <row r="877" spans="51:75">
      <c r="AY877" s="1184"/>
      <c r="AZ877" s="1183" t="s">
        <v>994</v>
      </c>
      <c r="BA877" s="1172">
        <v>3</v>
      </c>
      <c r="BB877" s="1152">
        <v>0.85</v>
      </c>
      <c r="BC877" s="1097">
        <v>5.2</v>
      </c>
      <c r="BD877" s="1061">
        <v>1000</v>
      </c>
      <c r="BE877" s="1061">
        <v>1500</v>
      </c>
      <c r="BF877" s="1061">
        <v>2000</v>
      </c>
      <c r="BG877" s="1061">
        <v>3000</v>
      </c>
      <c r="BH877" s="1061">
        <v>5000</v>
      </c>
      <c r="BI877" s="1061">
        <v>7000</v>
      </c>
      <c r="BJ877" s="1060" t="s">
        <v>1320</v>
      </c>
      <c r="BL877" s="1060" t="s">
        <v>1329</v>
      </c>
      <c r="BN877" s="1182"/>
      <c r="BO877" s="1060" t="s">
        <v>1488</v>
      </c>
      <c r="BW877" s="1181"/>
    </row>
    <row r="878" spans="51:75">
      <c r="AY878" s="1184"/>
      <c r="AZ878" s="1183" t="s">
        <v>1487</v>
      </c>
      <c r="BN878" s="1182"/>
      <c r="BO878" s="1060" t="s">
        <v>1486</v>
      </c>
      <c r="BW878" s="1181"/>
    </row>
    <row r="879" spans="51:75">
      <c r="AY879" s="1184"/>
      <c r="AZ879" s="1183" t="s">
        <v>995</v>
      </c>
      <c r="BA879" s="1172">
        <v>3</v>
      </c>
      <c r="BB879" s="1152">
        <v>0.85</v>
      </c>
      <c r="BC879" s="1097">
        <v>5.2</v>
      </c>
      <c r="BD879" s="1061">
        <v>1000</v>
      </c>
      <c r="BE879" s="1061">
        <v>1500</v>
      </c>
      <c r="BF879" s="1061">
        <v>2000</v>
      </c>
      <c r="BG879" s="1061">
        <v>3000</v>
      </c>
      <c r="BH879" s="1061">
        <v>5000</v>
      </c>
      <c r="BI879" s="1061">
        <v>7000</v>
      </c>
      <c r="BJ879" s="1060" t="s">
        <v>1320</v>
      </c>
      <c r="BL879" s="1060" t="s">
        <v>1329</v>
      </c>
      <c r="BN879" s="1182"/>
      <c r="BO879" s="1060" t="s">
        <v>1485</v>
      </c>
      <c r="BW879" s="1181"/>
    </row>
    <row r="880" spans="51:75">
      <c r="AY880" s="1184"/>
      <c r="AZ880" s="1183" t="s">
        <v>1094</v>
      </c>
      <c r="BA880" s="1172">
        <v>6</v>
      </c>
      <c r="BB880" s="1152">
        <v>2.1</v>
      </c>
      <c r="BC880" s="1097">
        <v>6.2</v>
      </c>
      <c r="BD880" s="1061">
        <v>7000</v>
      </c>
      <c r="BE880" s="1061">
        <v>9000</v>
      </c>
      <c r="BF880" s="1061">
        <v>11000</v>
      </c>
      <c r="BG880" s="1061">
        <v>15000</v>
      </c>
      <c r="BH880" s="1061">
        <v>18500</v>
      </c>
      <c r="BI880" s="1061">
        <v>22000</v>
      </c>
      <c r="BJ880" s="1060" t="s">
        <v>1320</v>
      </c>
      <c r="BL880" s="1060" t="s">
        <v>1333</v>
      </c>
      <c r="BN880" s="1182"/>
      <c r="BO880" s="1060" t="s">
        <v>1484</v>
      </c>
      <c r="BW880" s="1181"/>
    </row>
    <row r="881" spans="51:75">
      <c r="AY881" s="1184"/>
      <c r="AZ881" s="1183" t="s">
        <v>1095</v>
      </c>
      <c r="BA881" s="1172">
        <v>6</v>
      </c>
      <c r="BB881" s="1152">
        <v>2.1</v>
      </c>
      <c r="BC881" s="1097">
        <v>6.3</v>
      </c>
      <c r="BD881" s="1061">
        <v>7000</v>
      </c>
      <c r="BE881" s="1061">
        <v>9000</v>
      </c>
      <c r="BF881" s="1061">
        <v>11000</v>
      </c>
      <c r="BG881" s="1061">
        <v>15000</v>
      </c>
      <c r="BH881" s="1061">
        <v>18500</v>
      </c>
      <c r="BI881" s="1061">
        <v>22000</v>
      </c>
      <c r="BJ881" s="1060" t="s">
        <v>1320</v>
      </c>
      <c r="BL881" s="1060" t="s">
        <v>1333</v>
      </c>
      <c r="BN881" s="1182"/>
      <c r="BO881" s="1060" t="s">
        <v>1483</v>
      </c>
      <c r="BW881" s="1181"/>
    </row>
    <row r="882" spans="51:75">
      <c r="AY882" s="1184"/>
      <c r="AZ882" s="1183" t="s">
        <v>1217</v>
      </c>
      <c r="BA882" s="1172">
        <v>10</v>
      </c>
      <c r="BB882" s="1152">
        <v>3.61</v>
      </c>
      <c r="BC882" s="1097">
        <v>4.9000000000000004</v>
      </c>
      <c r="BD882" s="1061">
        <v>7000</v>
      </c>
      <c r="BE882" s="1061">
        <v>9000</v>
      </c>
      <c r="BF882" s="1061">
        <v>11000</v>
      </c>
      <c r="BG882" s="1061">
        <v>14000</v>
      </c>
      <c r="BH882" s="1061">
        <v>18000</v>
      </c>
      <c r="BI882" s="1061">
        <v>20000</v>
      </c>
      <c r="BJ882" s="1060" t="s">
        <v>1320</v>
      </c>
      <c r="BL882" s="1060" t="s">
        <v>1390</v>
      </c>
      <c r="BN882" s="1182"/>
      <c r="BO882" s="1060" t="s">
        <v>1482</v>
      </c>
      <c r="BW882" s="1181"/>
    </row>
    <row r="883" spans="51:75">
      <c r="AY883" s="1184"/>
      <c r="AZ883" s="1183" t="s">
        <v>1218</v>
      </c>
      <c r="BA883" s="1172">
        <v>10</v>
      </c>
      <c r="BB883" s="1152">
        <v>3.61</v>
      </c>
      <c r="BC883" s="1097">
        <v>4.9000000000000004</v>
      </c>
      <c r="BD883" s="1061">
        <v>7000</v>
      </c>
      <c r="BE883" s="1061">
        <v>9000</v>
      </c>
      <c r="BF883" s="1061">
        <v>11000</v>
      </c>
      <c r="BG883" s="1061">
        <v>14000</v>
      </c>
      <c r="BH883" s="1061">
        <v>18000</v>
      </c>
      <c r="BI883" s="1061">
        <v>20000</v>
      </c>
      <c r="BJ883" s="1060" t="s">
        <v>1320</v>
      </c>
      <c r="BL883" s="1060" t="s">
        <v>1390</v>
      </c>
      <c r="BN883" s="1182"/>
      <c r="BO883" s="1060" t="s">
        <v>1481</v>
      </c>
      <c r="BW883" s="1181"/>
    </row>
    <row r="884" spans="51:75">
      <c r="AY884" s="1184"/>
      <c r="AZ884" s="1183" t="s">
        <v>1213</v>
      </c>
      <c r="BA884" s="1172">
        <v>10</v>
      </c>
      <c r="BB884" s="1152">
        <v>3.61</v>
      </c>
      <c r="BC884" s="1097">
        <v>4.9000000000000004</v>
      </c>
      <c r="BD884" s="1061">
        <v>7000</v>
      </c>
      <c r="BE884" s="1061">
        <v>9000</v>
      </c>
      <c r="BF884" s="1061">
        <v>11000</v>
      </c>
      <c r="BG884" s="1061">
        <v>14000</v>
      </c>
      <c r="BH884" s="1061">
        <v>18000</v>
      </c>
      <c r="BI884" s="1061">
        <v>20000</v>
      </c>
      <c r="BJ884" s="1060" t="s">
        <v>1320</v>
      </c>
      <c r="BL884" s="1060" t="s">
        <v>1390</v>
      </c>
      <c r="BN884" s="1182"/>
      <c r="BO884" s="1060" t="s">
        <v>1480</v>
      </c>
      <c r="BW884" s="1181"/>
    </row>
    <row r="885" spans="51:75">
      <c r="AY885" s="1184"/>
      <c r="AZ885" s="1183" t="s">
        <v>1214</v>
      </c>
      <c r="BA885" s="1172">
        <v>10</v>
      </c>
      <c r="BB885" s="1152">
        <v>3.61</v>
      </c>
      <c r="BC885" s="1097">
        <v>4.9000000000000004</v>
      </c>
      <c r="BD885" s="1061">
        <v>7000</v>
      </c>
      <c r="BE885" s="1061">
        <v>9000</v>
      </c>
      <c r="BF885" s="1061">
        <v>11000</v>
      </c>
      <c r="BG885" s="1061">
        <v>14000</v>
      </c>
      <c r="BH885" s="1061">
        <v>18000</v>
      </c>
      <c r="BI885" s="1061">
        <v>20000</v>
      </c>
      <c r="BJ885" s="1060" t="s">
        <v>1320</v>
      </c>
      <c r="BL885" s="1060" t="s">
        <v>1390</v>
      </c>
      <c r="BN885" s="1182"/>
      <c r="BO885" s="1060" t="s">
        <v>1479</v>
      </c>
      <c r="BW885" s="1181"/>
    </row>
    <row r="886" spans="51:75">
      <c r="AY886" s="1184"/>
      <c r="AZ886" s="1183" t="s">
        <v>1215</v>
      </c>
      <c r="BA886" s="1172">
        <v>10</v>
      </c>
      <c r="BB886" s="1152">
        <v>3.61</v>
      </c>
      <c r="BC886" s="1097">
        <v>4.9000000000000004</v>
      </c>
      <c r="BD886" s="1061">
        <v>7000</v>
      </c>
      <c r="BE886" s="1061">
        <v>9000</v>
      </c>
      <c r="BF886" s="1061">
        <v>11000</v>
      </c>
      <c r="BG886" s="1061">
        <v>14000</v>
      </c>
      <c r="BH886" s="1061">
        <v>18000</v>
      </c>
      <c r="BI886" s="1061">
        <v>20000</v>
      </c>
      <c r="BJ886" s="1060" t="s">
        <v>1320</v>
      </c>
      <c r="BL886" s="1060" t="s">
        <v>1390</v>
      </c>
      <c r="BN886" s="1182"/>
      <c r="BO886" s="1060" t="s">
        <v>1478</v>
      </c>
      <c r="BW886" s="1181"/>
    </row>
    <row r="887" spans="51:75">
      <c r="AY887" s="1184"/>
      <c r="AZ887" s="1183" t="s">
        <v>1216</v>
      </c>
      <c r="BA887" s="1172">
        <v>10</v>
      </c>
      <c r="BB887" s="1152">
        <v>3.61</v>
      </c>
      <c r="BC887" s="1097">
        <v>4.9000000000000004</v>
      </c>
      <c r="BD887" s="1061">
        <v>7000</v>
      </c>
      <c r="BE887" s="1061">
        <v>9000</v>
      </c>
      <c r="BF887" s="1061">
        <v>11000</v>
      </c>
      <c r="BG887" s="1061">
        <v>14000</v>
      </c>
      <c r="BH887" s="1061">
        <v>18000</v>
      </c>
      <c r="BI887" s="1061">
        <v>20000</v>
      </c>
      <c r="BJ887" s="1060" t="s">
        <v>1320</v>
      </c>
      <c r="BL887" s="1060" t="s">
        <v>1390</v>
      </c>
      <c r="BN887" s="1182"/>
      <c r="BO887" s="1060" t="s">
        <v>1477</v>
      </c>
      <c r="BW887" s="1181"/>
    </row>
    <row r="888" spans="51:75">
      <c r="AY888" s="1184"/>
      <c r="AZ888" s="1183" t="s">
        <v>1176</v>
      </c>
      <c r="BA888" s="1172">
        <v>8</v>
      </c>
      <c r="BB888" s="1152">
        <v>3.19</v>
      </c>
      <c r="BC888" s="1097">
        <v>5.9</v>
      </c>
      <c r="BD888" s="1061">
        <v>3000</v>
      </c>
      <c r="BE888" s="1061">
        <v>4000</v>
      </c>
      <c r="BF888" s="1061">
        <v>5000</v>
      </c>
      <c r="BG888" s="1061">
        <v>8000</v>
      </c>
      <c r="BH888" s="1061">
        <v>11000</v>
      </c>
      <c r="BI888" s="1061">
        <v>14000</v>
      </c>
      <c r="BJ888" s="1060" t="s">
        <v>1320</v>
      </c>
      <c r="BL888" s="1060" t="s">
        <v>1333</v>
      </c>
      <c r="BN888" s="1182"/>
      <c r="BO888" s="1060" t="s">
        <v>1476</v>
      </c>
      <c r="BW888" s="1181"/>
    </row>
    <row r="889" spans="51:75">
      <c r="AY889" s="1184"/>
      <c r="AZ889" s="1183" t="s">
        <v>1177</v>
      </c>
      <c r="BA889" s="1172">
        <v>8</v>
      </c>
      <c r="BB889" s="1152">
        <v>3.19</v>
      </c>
      <c r="BC889" s="1097">
        <v>5.9</v>
      </c>
      <c r="BD889" s="1061">
        <v>3000</v>
      </c>
      <c r="BE889" s="1061">
        <v>4000</v>
      </c>
      <c r="BF889" s="1061">
        <v>5000</v>
      </c>
      <c r="BG889" s="1061">
        <v>8000</v>
      </c>
      <c r="BH889" s="1061">
        <v>11000</v>
      </c>
      <c r="BI889" s="1061">
        <v>14000</v>
      </c>
      <c r="BJ889" s="1060" t="s">
        <v>1320</v>
      </c>
      <c r="BL889" s="1060" t="s">
        <v>1333</v>
      </c>
      <c r="BN889" s="1182"/>
      <c r="BO889" s="1060" t="s">
        <v>1475</v>
      </c>
      <c r="BW889" s="1181"/>
    </row>
    <row r="890" spans="51:75">
      <c r="AY890" s="1184"/>
      <c r="AZ890" s="1183" t="s">
        <v>1178</v>
      </c>
      <c r="BA890" s="1172">
        <v>8</v>
      </c>
      <c r="BB890" s="1152">
        <v>3.19</v>
      </c>
      <c r="BC890" s="1097">
        <v>5.9</v>
      </c>
      <c r="BD890" s="1061">
        <v>3000</v>
      </c>
      <c r="BE890" s="1061">
        <v>4000</v>
      </c>
      <c r="BF890" s="1061">
        <v>5000</v>
      </c>
      <c r="BG890" s="1061">
        <v>8000</v>
      </c>
      <c r="BH890" s="1061">
        <v>11000</v>
      </c>
      <c r="BI890" s="1061">
        <v>14000</v>
      </c>
      <c r="BJ890" s="1060" t="s">
        <v>1320</v>
      </c>
      <c r="BL890" s="1060" t="s">
        <v>1333</v>
      </c>
      <c r="BN890" s="1182"/>
      <c r="BO890" s="1060" t="s">
        <v>1474</v>
      </c>
      <c r="BW890" s="1181"/>
    </row>
    <row r="891" spans="51:75">
      <c r="AY891" s="1184"/>
      <c r="AZ891" s="1183" t="s">
        <v>1179</v>
      </c>
      <c r="BA891" s="1172">
        <v>8</v>
      </c>
      <c r="BB891" s="1152">
        <v>3.19</v>
      </c>
      <c r="BC891" s="1097">
        <v>5.9</v>
      </c>
      <c r="BD891" s="1061">
        <v>3000</v>
      </c>
      <c r="BE891" s="1061">
        <v>4000</v>
      </c>
      <c r="BF891" s="1061">
        <v>5000</v>
      </c>
      <c r="BG891" s="1061">
        <v>8000</v>
      </c>
      <c r="BH891" s="1061">
        <v>11000</v>
      </c>
      <c r="BI891" s="1061">
        <v>14000</v>
      </c>
      <c r="BJ891" s="1060" t="s">
        <v>1320</v>
      </c>
      <c r="BL891" s="1060" t="s">
        <v>1333</v>
      </c>
      <c r="BN891" s="1182"/>
      <c r="BO891" s="1060" t="s">
        <v>1473</v>
      </c>
      <c r="BW891" s="1181"/>
    </row>
    <row r="892" spans="51:75">
      <c r="AY892" s="1184"/>
      <c r="AZ892" s="1183" t="s">
        <v>1180</v>
      </c>
      <c r="BA892" s="1172">
        <v>8</v>
      </c>
      <c r="BB892" s="1152">
        <v>3.19</v>
      </c>
      <c r="BC892" s="1097">
        <v>5.9</v>
      </c>
      <c r="BD892" s="1061">
        <v>3000</v>
      </c>
      <c r="BE892" s="1061">
        <v>4000</v>
      </c>
      <c r="BF892" s="1061">
        <v>5000</v>
      </c>
      <c r="BG892" s="1061">
        <v>8000</v>
      </c>
      <c r="BH892" s="1061">
        <v>11000</v>
      </c>
      <c r="BI892" s="1061">
        <v>14000</v>
      </c>
      <c r="BJ892" s="1060" t="s">
        <v>1320</v>
      </c>
      <c r="BL892" s="1060" t="s">
        <v>1333</v>
      </c>
      <c r="BN892" s="1182"/>
      <c r="BO892" s="1060" t="s">
        <v>1472</v>
      </c>
      <c r="BW892" s="1181"/>
    </row>
    <row r="893" spans="51:75">
      <c r="AY893" s="1184"/>
      <c r="AZ893" s="1183" t="s">
        <v>893</v>
      </c>
      <c r="BA893" s="1172">
        <v>2</v>
      </c>
      <c r="BB893" s="1152">
        <v>0.85</v>
      </c>
      <c r="BC893" s="1097">
        <v>7.1</v>
      </c>
      <c r="BD893" s="1061">
        <v>700</v>
      </c>
      <c r="BE893" s="1061">
        <v>1200</v>
      </c>
      <c r="BF893" s="1061">
        <v>1700</v>
      </c>
      <c r="BG893" s="1061">
        <v>2000</v>
      </c>
      <c r="BH893" s="1061">
        <v>2500</v>
      </c>
      <c r="BI893" s="1061">
        <v>3000</v>
      </c>
      <c r="BJ893" s="1060" t="s">
        <v>1320</v>
      </c>
      <c r="BL893" s="1060" t="s">
        <v>1333</v>
      </c>
      <c r="BN893" s="1182"/>
      <c r="BO893" s="1060" t="s">
        <v>1471</v>
      </c>
      <c r="BW893" s="1181"/>
    </row>
    <row r="894" spans="51:75">
      <c r="AY894" s="1184"/>
      <c r="AZ894" s="1183" t="s">
        <v>891</v>
      </c>
      <c r="BA894" s="1172">
        <v>2</v>
      </c>
      <c r="BB894" s="1152">
        <v>0.85</v>
      </c>
      <c r="BC894" s="1097">
        <v>7.1</v>
      </c>
      <c r="BD894" s="1061">
        <v>700</v>
      </c>
      <c r="BE894" s="1061">
        <v>1200</v>
      </c>
      <c r="BF894" s="1061">
        <v>1700</v>
      </c>
      <c r="BG894" s="1061">
        <v>2000</v>
      </c>
      <c r="BH894" s="1061">
        <v>2500</v>
      </c>
      <c r="BI894" s="1061">
        <v>3000</v>
      </c>
      <c r="BJ894" s="1060" t="s">
        <v>1320</v>
      </c>
      <c r="BL894" s="1060" t="s">
        <v>1333</v>
      </c>
      <c r="BN894" s="1182"/>
      <c r="BO894" s="1060" t="s">
        <v>1470</v>
      </c>
      <c r="BW894" s="1181"/>
    </row>
    <row r="895" spans="51:75">
      <c r="AY895" s="1184"/>
      <c r="AZ895" s="1183" t="s">
        <v>895</v>
      </c>
      <c r="BA895" s="1172">
        <v>2</v>
      </c>
      <c r="BB895" s="1152">
        <v>0.85</v>
      </c>
      <c r="BC895" s="1097">
        <v>7.1</v>
      </c>
      <c r="BD895" s="1061">
        <v>700</v>
      </c>
      <c r="BE895" s="1061">
        <v>1200</v>
      </c>
      <c r="BF895" s="1061">
        <v>1700</v>
      </c>
      <c r="BG895" s="1061">
        <v>2000</v>
      </c>
      <c r="BH895" s="1061">
        <v>2500</v>
      </c>
      <c r="BI895" s="1061">
        <v>3000</v>
      </c>
      <c r="BJ895" s="1060" t="s">
        <v>1320</v>
      </c>
      <c r="BL895" s="1060" t="s">
        <v>1324</v>
      </c>
      <c r="BN895" s="1182"/>
      <c r="BO895" s="1060" t="s">
        <v>1469</v>
      </c>
      <c r="BW895" s="1181"/>
    </row>
    <row r="896" spans="51:75">
      <c r="AY896" s="1184"/>
      <c r="AZ896" s="1183" t="s">
        <v>897</v>
      </c>
      <c r="BA896" s="1172">
        <v>2</v>
      </c>
      <c r="BB896" s="1152">
        <v>0.85</v>
      </c>
      <c r="BC896" s="1097">
        <v>7.1</v>
      </c>
      <c r="BD896" s="1061">
        <v>700</v>
      </c>
      <c r="BE896" s="1061">
        <v>1200</v>
      </c>
      <c r="BF896" s="1061">
        <v>1700</v>
      </c>
      <c r="BG896" s="1061">
        <v>2000</v>
      </c>
      <c r="BH896" s="1061">
        <v>2500</v>
      </c>
      <c r="BI896" s="1061">
        <v>3000</v>
      </c>
      <c r="BJ896" s="1060" t="s">
        <v>1320</v>
      </c>
      <c r="BL896" s="1060" t="s">
        <v>1324</v>
      </c>
      <c r="BN896" s="1182"/>
      <c r="BO896" s="1060" t="s">
        <v>1468</v>
      </c>
      <c r="BW896" s="1181"/>
    </row>
    <row r="897" spans="51:75">
      <c r="AY897" s="1184"/>
      <c r="AZ897" s="1183" t="s">
        <v>899</v>
      </c>
      <c r="BA897" s="1172">
        <v>2</v>
      </c>
      <c r="BB897" s="1152">
        <v>0.85</v>
      </c>
      <c r="BC897" s="1097">
        <v>7.1</v>
      </c>
      <c r="BD897" s="1061">
        <v>700</v>
      </c>
      <c r="BE897" s="1061">
        <v>1200</v>
      </c>
      <c r="BF897" s="1061">
        <v>1700</v>
      </c>
      <c r="BG897" s="1061">
        <v>2000</v>
      </c>
      <c r="BH897" s="1061">
        <v>2500</v>
      </c>
      <c r="BI897" s="1061">
        <v>3000</v>
      </c>
      <c r="BJ897" s="1060" t="s">
        <v>1320</v>
      </c>
      <c r="BL897" s="1060" t="s">
        <v>1324</v>
      </c>
      <c r="BN897" s="1182"/>
      <c r="BO897" s="1060" t="s">
        <v>1467</v>
      </c>
      <c r="BW897" s="1181"/>
    </row>
    <row r="898" spans="51:75">
      <c r="AY898" s="1184"/>
      <c r="AZ898" s="1183" t="s">
        <v>901</v>
      </c>
      <c r="BA898" s="1172">
        <v>2</v>
      </c>
      <c r="BB898" s="1152">
        <v>0.85</v>
      </c>
      <c r="BC898" s="1097">
        <v>7.1</v>
      </c>
      <c r="BD898" s="1061">
        <v>700</v>
      </c>
      <c r="BE898" s="1061">
        <v>1200</v>
      </c>
      <c r="BF898" s="1061">
        <v>1700</v>
      </c>
      <c r="BG898" s="1061">
        <v>2000</v>
      </c>
      <c r="BH898" s="1061">
        <v>2500</v>
      </c>
      <c r="BI898" s="1061">
        <v>3000</v>
      </c>
      <c r="BJ898" s="1060" t="s">
        <v>1320</v>
      </c>
      <c r="BL898" s="1060" t="s">
        <v>1324</v>
      </c>
      <c r="BN898" s="1182"/>
      <c r="BO898" s="1060" t="s">
        <v>1466</v>
      </c>
      <c r="BW898" s="1181"/>
    </row>
    <row r="899" spans="51:75">
      <c r="AY899" s="1184"/>
      <c r="AZ899" s="1183" t="s">
        <v>903</v>
      </c>
      <c r="BA899" s="1172">
        <v>2</v>
      </c>
      <c r="BB899" s="1152">
        <v>0.85</v>
      </c>
      <c r="BC899" s="1097">
        <v>7.1</v>
      </c>
      <c r="BD899" s="1061">
        <v>700</v>
      </c>
      <c r="BE899" s="1061">
        <v>1200</v>
      </c>
      <c r="BF899" s="1061">
        <v>1700</v>
      </c>
      <c r="BG899" s="1061">
        <v>2000</v>
      </c>
      <c r="BH899" s="1061">
        <v>2500</v>
      </c>
      <c r="BI899" s="1061">
        <v>3000</v>
      </c>
      <c r="BJ899" s="1060" t="s">
        <v>1320</v>
      </c>
      <c r="BL899" s="1060" t="s">
        <v>1324</v>
      </c>
      <c r="BN899" s="1182"/>
      <c r="BO899" s="1060" t="s">
        <v>1465</v>
      </c>
      <c r="BW899" s="1181"/>
    </row>
    <row r="900" spans="51:75">
      <c r="AY900" s="1184"/>
      <c r="AZ900" s="1183" t="s">
        <v>905</v>
      </c>
      <c r="BA900" s="1172">
        <v>2</v>
      </c>
      <c r="BB900" s="1152">
        <v>0.85</v>
      </c>
      <c r="BC900" s="1097">
        <v>7.1</v>
      </c>
      <c r="BD900" s="1061">
        <v>700</v>
      </c>
      <c r="BE900" s="1061">
        <v>1200</v>
      </c>
      <c r="BF900" s="1061">
        <v>1700</v>
      </c>
      <c r="BG900" s="1061">
        <v>2000</v>
      </c>
      <c r="BH900" s="1061">
        <v>2500</v>
      </c>
      <c r="BI900" s="1061">
        <v>3000</v>
      </c>
      <c r="BJ900" s="1060" t="s">
        <v>1320</v>
      </c>
      <c r="BL900" s="1060" t="s">
        <v>1324</v>
      </c>
      <c r="BN900" s="1182"/>
      <c r="BO900" s="1060" t="s">
        <v>1464</v>
      </c>
      <c r="BW900" s="1181"/>
    </row>
    <row r="901" spans="51:75">
      <c r="AY901" s="1184"/>
      <c r="AZ901" s="1183" t="s">
        <v>906</v>
      </c>
      <c r="BA901" s="1172">
        <v>2</v>
      </c>
      <c r="BB901" s="1152">
        <v>0.85</v>
      </c>
      <c r="BC901" s="1097">
        <v>7.1</v>
      </c>
      <c r="BD901" s="1061">
        <v>700</v>
      </c>
      <c r="BE901" s="1061">
        <v>1200</v>
      </c>
      <c r="BF901" s="1061">
        <v>1700</v>
      </c>
      <c r="BG901" s="1061">
        <v>2000</v>
      </c>
      <c r="BH901" s="1061">
        <v>2500</v>
      </c>
      <c r="BI901" s="1061">
        <v>3000</v>
      </c>
      <c r="BJ901" s="1060" t="s">
        <v>1320</v>
      </c>
      <c r="BL901" s="1060" t="s">
        <v>1324</v>
      </c>
      <c r="BN901" s="1182"/>
      <c r="BO901" s="1060" t="s">
        <v>1463</v>
      </c>
      <c r="BW901" s="1181"/>
    </row>
    <row r="902" spans="51:75">
      <c r="AY902" s="1184"/>
      <c r="AZ902" s="1183" t="s">
        <v>907</v>
      </c>
      <c r="BA902" s="1172">
        <v>2</v>
      </c>
      <c r="BB902" s="1152">
        <v>0.85</v>
      </c>
      <c r="BC902" s="1097">
        <v>7.1</v>
      </c>
      <c r="BD902" s="1061">
        <v>700</v>
      </c>
      <c r="BE902" s="1061">
        <v>1200</v>
      </c>
      <c r="BF902" s="1061">
        <v>1700</v>
      </c>
      <c r="BG902" s="1061">
        <v>2000</v>
      </c>
      <c r="BH902" s="1061">
        <v>2500</v>
      </c>
      <c r="BI902" s="1061">
        <v>3000</v>
      </c>
      <c r="BJ902" s="1060" t="s">
        <v>1320</v>
      </c>
      <c r="BL902" s="1060" t="s">
        <v>1333</v>
      </c>
      <c r="BN902" s="1182"/>
      <c r="BO902" s="1060" t="s">
        <v>1462</v>
      </c>
      <c r="BW902" s="1181"/>
    </row>
    <row r="903" spans="51:75">
      <c r="AY903" s="1184"/>
      <c r="AZ903" s="1183" t="s">
        <v>908</v>
      </c>
      <c r="BA903" s="1172">
        <v>2</v>
      </c>
      <c r="BB903" s="1152">
        <v>0.85</v>
      </c>
      <c r="BC903" s="1097">
        <v>7.1</v>
      </c>
      <c r="BD903" s="1061">
        <v>700</v>
      </c>
      <c r="BE903" s="1061">
        <v>1200</v>
      </c>
      <c r="BF903" s="1061">
        <v>1700</v>
      </c>
      <c r="BG903" s="1061">
        <v>2000</v>
      </c>
      <c r="BH903" s="1061">
        <v>2500</v>
      </c>
      <c r="BI903" s="1061">
        <v>3000</v>
      </c>
      <c r="BJ903" s="1060" t="s">
        <v>1320</v>
      </c>
      <c r="BL903" s="1060" t="s">
        <v>1333</v>
      </c>
      <c r="BN903" s="1182"/>
      <c r="BO903" s="1060" t="s">
        <v>1461</v>
      </c>
      <c r="BW903" s="1181"/>
    </row>
    <row r="904" spans="51:75">
      <c r="AY904" s="1184"/>
      <c r="AZ904" s="1183" t="s">
        <v>1096</v>
      </c>
      <c r="BA904" s="1172">
        <v>6</v>
      </c>
      <c r="BB904" s="1152">
        <v>2.81</v>
      </c>
      <c r="BC904" s="1097">
        <v>5.0999999999999996</v>
      </c>
      <c r="BD904" s="1061">
        <v>7000</v>
      </c>
      <c r="BE904" s="1061">
        <v>9000</v>
      </c>
      <c r="BF904" s="1061">
        <v>11000</v>
      </c>
      <c r="BG904" s="1061">
        <v>15000</v>
      </c>
      <c r="BH904" s="1061">
        <v>18500</v>
      </c>
      <c r="BI904" s="1061">
        <v>22000</v>
      </c>
      <c r="BJ904" s="1060" t="s">
        <v>1348</v>
      </c>
      <c r="BL904" s="1060" t="s">
        <v>1333</v>
      </c>
      <c r="BN904" s="1182"/>
      <c r="BO904" s="1060" t="s">
        <v>1460</v>
      </c>
      <c r="BW904" s="1181"/>
    </row>
    <row r="905" spans="51:75">
      <c r="AY905" s="1184"/>
      <c r="AZ905" s="1183" t="s">
        <v>1097</v>
      </c>
      <c r="BA905" s="1172">
        <v>6</v>
      </c>
      <c r="BB905" s="1152">
        <v>2.81</v>
      </c>
      <c r="BC905" s="1097">
        <v>5.0999999999999996</v>
      </c>
      <c r="BD905" s="1061">
        <v>7000</v>
      </c>
      <c r="BE905" s="1061">
        <v>9000</v>
      </c>
      <c r="BF905" s="1061">
        <v>11000</v>
      </c>
      <c r="BG905" s="1061">
        <v>15000</v>
      </c>
      <c r="BH905" s="1061">
        <v>18500</v>
      </c>
      <c r="BI905" s="1061">
        <v>22000</v>
      </c>
      <c r="BJ905" s="1060" t="s">
        <v>1348</v>
      </c>
      <c r="BL905" s="1060" t="s">
        <v>1333</v>
      </c>
      <c r="BN905" s="1182"/>
      <c r="BO905" s="1060" t="s">
        <v>1459</v>
      </c>
      <c r="BW905" s="1181"/>
    </row>
    <row r="906" spans="51:75">
      <c r="AY906" s="1184"/>
      <c r="AZ906" s="1183" t="s">
        <v>1098</v>
      </c>
      <c r="BA906" s="1172">
        <v>6</v>
      </c>
      <c r="BB906" s="1152">
        <v>2.81</v>
      </c>
      <c r="BC906" s="1097">
        <v>5.0999999999999996</v>
      </c>
      <c r="BD906" s="1061">
        <v>7000</v>
      </c>
      <c r="BE906" s="1061">
        <v>9000</v>
      </c>
      <c r="BF906" s="1061">
        <v>11000</v>
      </c>
      <c r="BG906" s="1061">
        <v>15000</v>
      </c>
      <c r="BH906" s="1061">
        <v>18500</v>
      </c>
      <c r="BI906" s="1061">
        <v>22000</v>
      </c>
      <c r="BJ906" s="1060" t="s">
        <v>1348</v>
      </c>
      <c r="BL906" s="1060" t="s">
        <v>1333</v>
      </c>
      <c r="BN906" s="1182"/>
      <c r="BO906" s="1060" t="s">
        <v>1458</v>
      </c>
      <c r="BW906" s="1181"/>
    </row>
    <row r="907" spans="51:75">
      <c r="AY907" s="1184"/>
      <c r="AZ907" s="1183" t="s">
        <v>1040</v>
      </c>
      <c r="BA907" s="1172">
        <v>4</v>
      </c>
      <c r="BB907" s="1152">
        <v>6.98</v>
      </c>
      <c r="BC907" s="1097">
        <v>6.8</v>
      </c>
      <c r="BD907" s="1061">
        <v>2000</v>
      </c>
      <c r="BE907" s="1061">
        <v>3000</v>
      </c>
      <c r="BF907" s="1061">
        <v>4000</v>
      </c>
      <c r="BG907" s="1061">
        <v>5000</v>
      </c>
      <c r="BH907" s="1061">
        <v>7000</v>
      </c>
      <c r="BI907" s="1061">
        <v>9000</v>
      </c>
      <c r="BJ907" s="1060" t="s">
        <v>1348</v>
      </c>
      <c r="BL907" s="1060" t="s">
        <v>1324</v>
      </c>
      <c r="BN907" s="1182"/>
      <c r="BO907" s="1060" t="s">
        <v>1457</v>
      </c>
      <c r="BW907" s="1181"/>
    </row>
    <row r="908" spans="51:75">
      <c r="AY908" s="1184"/>
      <c r="AZ908" s="1183" t="s">
        <v>996</v>
      </c>
      <c r="BA908" s="1172">
        <v>3</v>
      </c>
      <c r="BB908" s="1152">
        <v>2.13</v>
      </c>
      <c r="BC908" s="1097">
        <v>6.3</v>
      </c>
      <c r="BD908" s="1061">
        <v>1000</v>
      </c>
      <c r="BE908" s="1061">
        <v>1500</v>
      </c>
      <c r="BF908" s="1061">
        <v>2000</v>
      </c>
      <c r="BG908" s="1061">
        <v>3000</v>
      </c>
      <c r="BH908" s="1061">
        <v>5000</v>
      </c>
      <c r="BI908" s="1061">
        <v>7000</v>
      </c>
      <c r="BJ908" s="1060" t="s">
        <v>1320</v>
      </c>
      <c r="BL908" s="1060" t="s">
        <v>1333</v>
      </c>
      <c r="BN908" s="1182"/>
      <c r="BO908" s="1060" t="s">
        <v>1456</v>
      </c>
      <c r="BW908" s="1181"/>
    </row>
    <row r="909" spans="51:75">
      <c r="AY909" s="1184"/>
      <c r="AZ909" s="1183" t="s">
        <v>997</v>
      </c>
      <c r="BA909" s="1172">
        <v>3</v>
      </c>
      <c r="BB909" s="1152">
        <v>2.13</v>
      </c>
      <c r="BC909" s="1097">
        <v>6.3</v>
      </c>
      <c r="BD909" s="1061">
        <v>1000</v>
      </c>
      <c r="BE909" s="1061">
        <v>1500</v>
      </c>
      <c r="BF909" s="1061">
        <v>2000</v>
      </c>
      <c r="BG909" s="1061">
        <v>3000</v>
      </c>
      <c r="BH909" s="1061">
        <v>5000</v>
      </c>
      <c r="BI909" s="1061">
        <v>7000</v>
      </c>
      <c r="BJ909" s="1060" t="s">
        <v>1320</v>
      </c>
      <c r="BL909" s="1060" t="s">
        <v>1333</v>
      </c>
      <c r="BN909" s="1182"/>
      <c r="BO909" s="1060" t="s">
        <v>1455</v>
      </c>
      <c r="BW909" s="1181"/>
    </row>
    <row r="910" spans="51:75">
      <c r="AY910" s="1184"/>
      <c r="AZ910" s="1183" t="s">
        <v>998</v>
      </c>
      <c r="BA910" s="1172">
        <v>3</v>
      </c>
      <c r="BB910" s="1152">
        <v>2.13</v>
      </c>
      <c r="BC910" s="1097">
        <v>6.3</v>
      </c>
      <c r="BD910" s="1061">
        <v>1000</v>
      </c>
      <c r="BE910" s="1061">
        <v>1500</v>
      </c>
      <c r="BF910" s="1061">
        <v>2000</v>
      </c>
      <c r="BG910" s="1061">
        <v>3000</v>
      </c>
      <c r="BH910" s="1061">
        <v>5000</v>
      </c>
      <c r="BI910" s="1061">
        <v>7000</v>
      </c>
      <c r="BJ910" s="1060" t="s">
        <v>1320</v>
      </c>
      <c r="BL910" s="1060" t="s">
        <v>1333</v>
      </c>
      <c r="BN910" s="1182"/>
      <c r="BO910" s="1060" t="s">
        <v>1454</v>
      </c>
      <c r="BW910" s="1181"/>
    </row>
    <row r="911" spans="51:75">
      <c r="AY911" s="1184"/>
      <c r="AZ911" s="1183" t="s">
        <v>1172</v>
      </c>
      <c r="BA911" s="1172">
        <v>8</v>
      </c>
      <c r="BB911" s="1152">
        <v>1.8</v>
      </c>
      <c r="BC911" s="1097">
        <v>5.2</v>
      </c>
      <c r="BD911" s="1061">
        <v>3000</v>
      </c>
      <c r="BE911" s="1061">
        <v>4000</v>
      </c>
      <c r="BF911" s="1061">
        <v>5000</v>
      </c>
      <c r="BG911" s="1061">
        <v>8000</v>
      </c>
      <c r="BH911" s="1061">
        <v>11000</v>
      </c>
      <c r="BI911" s="1061">
        <v>14000</v>
      </c>
      <c r="BJ911" s="1060" t="s">
        <v>1320</v>
      </c>
      <c r="BL911" s="1060" t="s">
        <v>1333</v>
      </c>
      <c r="BN911" s="1182"/>
      <c r="BO911" s="1060" t="s">
        <v>1453</v>
      </c>
      <c r="BW911" s="1181"/>
    </row>
    <row r="912" spans="51:75">
      <c r="AY912" s="1184"/>
      <c r="AZ912" s="1183" t="s">
        <v>788</v>
      </c>
      <c r="BA912" s="1172">
        <v>1</v>
      </c>
      <c r="BB912" s="1152">
        <v>0.28000000000000003</v>
      </c>
      <c r="BC912" s="1097">
        <v>8.3000000000000007</v>
      </c>
      <c r="BD912" s="1061">
        <v>400</v>
      </c>
      <c r="BE912" s="1061">
        <v>800</v>
      </c>
      <c r="BF912" s="1061">
        <v>1200</v>
      </c>
      <c r="BG912" s="1061">
        <v>1500</v>
      </c>
      <c r="BH912" s="1061">
        <v>2000</v>
      </c>
      <c r="BI912" s="1061">
        <v>2500</v>
      </c>
      <c r="BJ912" s="1060" t="s">
        <v>1320</v>
      </c>
      <c r="BL912" s="1060" t="s">
        <v>1329</v>
      </c>
      <c r="BN912" s="1182"/>
      <c r="BO912" s="1060" t="s">
        <v>1452</v>
      </c>
      <c r="BW912" s="1181"/>
    </row>
    <row r="913" spans="51:75">
      <c r="AY913" s="1184"/>
      <c r="AZ913" s="1183" t="s">
        <v>909</v>
      </c>
      <c r="BA913" s="1172">
        <v>4</v>
      </c>
      <c r="BB913" s="1152">
        <v>2.72</v>
      </c>
      <c r="BC913" s="1097">
        <v>6.8</v>
      </c>
      <c r="BD913" s="1061">
        <v>2000</v>
      </c>
      <c r="BE913" s="1061">
        <v>3000</v>
      </c>
      <c r="BF913" s="1061">
        <v>4000</v>
      </c>
      <c r="BG913" s="1061">
        <v>5000</v>
      </c>
      <c r="BH913" s="1061">
        <v>7000</v>
      </c>
      <c r="BI913" s="1061">
        <v>9000</v>
      </c>
      <c r="BJ913" s="1060" t="s">
        <v>1348</v>
      </c>
      <c r="BL913" s="1060" t="s">
        <v>1324</v>
      </c>
      <c r="BN913" s="1182"/>
      <c r="BO913" s="1060" t="s">
        <v>1451</v>
      </c>
      <c r="BW913" s="1181"/>
    </row>
    <row r="914" spans="51:75">
      <c r="AY914" s="1184"/>
      <c r="AZ914" s="1183" t="s">
        <v>1450</v>
      </c>
      <c r="BN914" s="1182"/>
      <c r="BO914" s="1060" t="s">
        <v>1449</v>
      </c>
      <c r="BW914" s="1181"/>
    </row>
    <row r="915" spans="51:75">
      <c r="AY915" s="1184"/>
      <c r="AZ915" s="1183" t="s">
        <v>1448</v>
      </c>
      <c r="BB915" s="1152">
        <v>25.68</v>
      </c>
      <c r="BJ915" s="1060" t="s">
        <v>1382</v>
      </c>
      <c r="BL915" s="1060" t="s">
        <v>1447</v>
      </c>
      <c r="BN915" s="1182"/>
      <c r="BO915" s="1060" t="s">
        <v>1446</v>
      </c>
      <c r="BW915" s="1181"/>
    </row>
    <row r="916" spans="51:75">
      <c r="AY916" s="1184"/>
      <c r="AZ916" s="1183" t="s">
        <v>1445</v>
      </c>
      <c r="BB916" s="1152">
        <v>12.68</v>
      </c>
      <c r="BC916" s="1097">
        <v>4.9000000000000004</v>
      </c>
      <c r="BJ916" s="1060" t="s">
        <v>1348</v>
      </c>
      <c r="BL916" s="1060" t="s">
        <v>1387</v>
      </c>
      <c r="BN916" s="1182"/>
      <c r="BO916" s="1060" t="s">
        <v>1444</v>
      </c>
      <c r="BW916" s="1181"/>
    </row>
    <row r="917" spans="51:75">
      <c r="AY917" s="1184"/>
      <c r="AZ917" s="1183" t="s">
        <v>1443</v>
      </c>
      <c r="BB917" s="1152">
        <v>3.98</v>
      </c>
      <c r="BC917" s="1097">
        <v>4.0999999999999996</v>
      </c>
      <c r="BJ917" s="1060" t="s">
        <v>1348</v>
      </c>
      <c r="BL917" s="1060" t="s">
        <v>1387</v>
      </c>
      <c r="BN917" s="1182"/>
      <c r="BO917" s="1060" t="s">
        <v>1442</v>
      </c>
      <c r="BW917" s="1181"/>
    </row>
    <row r="918" spans="51:75">
      <c r="AY918" s="1184"/>
      <c r="AZ918" s="1183" t="s">
        <v>1441</v>
      </c>
      <c r="BB918" s="1152">
        <v>0.3</v>
      </c>
      <c r="BC918" s="1097">
        <v>6.7</v>
      </c>
      <c r="BN918" s="1182"/>
      <c r="BO918" s="1060" t="s">
        <v>1440</v>
      </c>
      <c r="BW918" s="1181"/>
    </row>
    <row r="919" spans="51:75">
      <c r="AY919" s="1184"/>
      <c r="AZ919" s="1183" t="s">
        <v>1226</v>
      </c>
      <c r="BA919" s="1172">
        <v>11</v>
      </c>
      <c r="BB919" s="1152">
        <v>15.59</v>
      </c>
      <c r="BC919" s="1097">
        <v>4.0999999999999996</v>
      </c>
      <c r="BD919" s="1061">
        <v>9000</v>
      </c>
      <c r="BE919" s="1061">
        <v>11000</v>
      </c>
      <c r="BF919" s="1061">
        <v>13000</v>
      </c>
      <c r="BG919" s="1061">
        <v>18000</v>
      </c>
      <c r="BH919" s="1061">
        <v>22000</v>
      </c>
      <c r="BI919" s="1061">
        <v>26000</v>
      </c>
      <c r="BJ919" s="1060" t="s">
        <v>1348</v>
      </c>
      <c r="BL919" s="1060" t="s">
        <v>1390</v>
      </c>
      <c r="BN919" s="1182"/>
      <c r="BO919" s="1060" t="s">
        <v>1439</v>
      </c>
      <c r="BW919" s="1181"/>
    </row>
    <row r="920" spans="51:75">
      <c r="AY920" s="1184"/>
      <c r="AZ920" s="1183" t="s">
        <v>1227</v>
      </c>
      <c r="BA920" s="1172">
        <v>11</v>
      </c>
      <c r="BB920" s="1152">
        <v>15.59</v>
      </c>
      <c r="BC920" s="1097">
        <v>4.0999999999999996</v>
      </c>
      <c r="BD920" s="1061">
        <v>9000</v>
      </c>
      <c r="BE920" s="1061">
        <v>11000</v>
      </c>
      <c r="BF920" s="1061">
        <v>13000</v>
      </c>
      <c r="BG920" s="1061">
        <v>18000</v>
      </c>
      <c r="BH920" s="1061">
        <v>22000</v>
      </c>
      <c r="BI920" s="1061">
        <v>26000</v>
      </c>
      <c r="BJ920" s="1060" t="s">
        <v>1348</v>
      </c>
      <c r="BL920" s="1060" t="s">
        <v>1390</v>
      </c>
      <c r="BN920" s="1182"/>
      <c r="BO920" s="1060" t="s">
        <v>1438</v>
      </c>
      <c r="BW920" s="1181"/>
    </row>
    <row r="921" spans="51:75">
      <c r="AY921" s="1184"/>
      <c r="AZ921" s="1183" t="s">
        <v>1437</v>
      </c>
      <c r="BB921" s="1152">
        <v>7.24</v>
      </c>
      <c r="BC921" s="1097">
        <v>4.2</v>
      </c>
      <c r="BL921" s="1060" t="s">
        <v>1390</v>
      </c>
      <c r="BN921" s="1182"/>
      <c r="BO921" s="1060" t="s">
        <v>1436</v>
      </c>
      <c r="BW921" s="1181"/>
    </row>
    <row r="922" spans="51:75">
      <c r="AY922" s="1184"/>
      <c r="AZ922" s="1183" t="s">
        <v>1435</v>
      </c>
      <c r="BB922" s="1152">
        <v>0</v>
      </c>
      <c r="BN922" s="1182"/>
      <c r="BO922" s="1060" t="s">
        <v>1434</v>
      </c>
      <c r="BW922" s="1181"/>
    </row>
    <row r="923" spans="51:75">
      <c r="AY923" s="1184"/>
      <c r="AZ923" s="1183" t="s">
        <v>1433</v>
      </c>
      <c r="BB923" s="1152">
        <v>7.0000000000000007E-2</v>
      </c>
      <c r="BN923" s="1182"/>
      <c r="BO923" s="1060" t="s">
        <v>1432</v>
      </c>
      <c r="BW923" s="1181"/>
    </row>
    <row r="924" spans="51:75">
      <c r="AY924" s="1184"/>
      <c r="AZ924" s="1183" t="s">
        <v>1431</v>
      </c>
      <c r="BB924" s="1152">
        <v>1.37</v>
      </c>
      <c r="BC924" s="1097">
        <v>7</v>
      </c>
      <c r="BL924" s="1060" t="s">
        <v>1324</v>
      </c>
      <c r="BN924" s="1182"/>
      <c r="BO924" s="1060" t="s">
        <v>1430</v>
      </c>
      <c r="BW924" s="1181"/>
    </row>
    <row r="925" spans="51:75">
      <c r="AY925" s="1184"/>
      <c r="AZ925" s="1183" t="s">
        <v>1429</v>
      </c>
      <c r="BB925" s="1152">
        <v>0</v>
      </c>
      <c r="BN925" s="1182"/>
      <c r="BO925" s="1060" t="s">
        <v>1428</v>
      </c>
      <c r="BW925" s="1181"/>
    </row>
    <row r="926" spans="51:75">
      <c r="AY926" s="1184"/>
      <c r="AZ926" s="1183" t="s">
        <v>1427</v>
      </c>
      <c r="BB926" s="1152">
        <v>2.08</v>
      </c>
      <c r="BC926" s="1097">
        <v>5.6</v>
      </c>
      <c r="BL926" s="1060" t="s">
        <v>1426</v>
      </c>
      <c r="BN926" s="1182"/>
      <c r="BO926" s="1060" t="s">
        <v>1425</v>
      </c>
      <c r="BW926" s="1181"/>
    </row>
    <row r="927" spans="51:75">
      <c r="AY927" s="1184"/>
      <c r="AZ927" s="1183" t="s">
        <v>1424</v>
      </c>
      <c r="BB927" s="1152">
        <v>1.4</v>
      </c>
      <c r="BC927" s="1097">
        <v>5.6</v>
      </c>
      <c r="BN927" s="1182"/>
      <c r="BO927" s="1060" t="s">
        <v>1423</v>
      </c>
      <c r="BW927" s="1181"/>
    </row>
    <row r="928" spans="51:75">
      <c r="AY928" s="1184"/>
      <c r="AZ928" s="1183" t="s">
        <v>1422</v>
      </c>
      <c r="BB928" s="1152">
        <v>9.56</v>
      </c>
      <c r="BC928" s="1097">
        <v>4.9000000000000004</v>
      </c>
      <c r="BL928" s="1060" t="s">
        <v>1390</v>
      </c>
      <c r="BN928" s="1182"/>
      <c r="BO928" s="1060" t="s">
        <v>1421</v>
      </c>
      <c r="BW928" s="1181"/>
    </row>
    <row r="929" spans="51:75">
      <c r="AY929" s="1184"/>
      <c r="AZ929" s="1183" t="s">
        <v>1420</v>
      </c>
      <c r="BB929" s="1152">
        <v>0.05</v>
      </c>
      <c r="BN929" s="1182"/>
      <c r="BO929" s="1060" t="s">
        <v>1419</v>
      </c>
      <c r="BW929" s="1181"/>
    </row>
    <row r="930" spans="51:75">
      <c r="AY930" s="1184"/>
      <c r="AZ930" s="1183" t="s">
        <v>1418</v>
      </c>
      <c r="BB930" s="1152">
        <v>0.15</v>
      </c>
      <c r="BC930" s="1097">
        <v>6.7</v>
      </c>
      <c r="BL930" s="1060" t="s">
        <v>1415</v>
      </c>
      <c r="BN930" s="1182"/>
      <c r="BO930" s="1060" t="s">
        <v>1417</v>
      </c>
      <c r="BW930" s="1181"/>
    </row>
    <row r="931" spans="51:75">
      <c r="AY931" s="1184"/>
      <c r="AZ931" s="1183" t="s">
        <v>1416</v>
      </c>
      <c r="BB931" s="1152">
        <v>1.79</v>
      </c>
      <c r="BC931" s="1097">
        <v>7</v>
      </c>
      <c r="BL931" s="1060" t="s">
        <v>1415</v>
      </c>
      <c r="BN931" s="1182"/>
      <c r="BO931" s="1060" t="s">
        <v>1414</v>
      </c>
      <c r="BW931" s="1181"/>
    </row>
    <row r="932" spans="51:75">
      <c r="AY932" s="1184"/>
      <c r="AZ932" s="1183" t="s">
        <v>1413</v>
      </c>
      <c r="BB932" s="1152">
        <v>0.27</v>
      </c>
      <c r="BC932" s="1097">
        <v>6.5</v>
      </c>
      <c r="BL932" s="1060" t="s">
        <v>1333</v>
      </c>
      <c r="BN932" s="1182"/>
      <c r="BO932" s="1060" t="s">
        <v>1412</v>
      </c>
      <c r="BW932" s="1181"/>
    </row>
    <row r="933" spans="51:75">
      <c r="AY933" s="1184"/>
      <c r="AZ933" s="1183" t="s">
        <v>1411</v>
      </c>
      <c r="BB933" s="1152">
        <v>3.08</v>
      </c>
      <c r="BC933" s="1097">
        <v>7</v>
      </c>
      <c r="BL933" s="1060" t="s">
        <v>1410</v>
      </c>
      <c r="BN933" s="1182"/>
      <c r="BO933" s="1060" t="s">
        <v>1409</v>
      </c>
      <c r="BW933" s="1181"/>
    </row>
    <row r="934" spans="51:75">
      <c r="AY934" s="1184"/>
      <c r="AZ934" s="1183" t="s">
        <v>1408</v>
      </c>
      <c r="BB934" s="1152">
        <v>0.83</v>
      </c>
      <c r="BC934" s="1097">
        <v>7</v>
      </c>
      <c r="BL934" s="1060" t="s">
        <v>1333</v>
      </c>
      <c r="BN934" s="1182"/>
      <c r="BO934" s="1060" t="s">
        <v>1407</v>
      </c>
      <c r="BW934" s="1181"/>
    </row>
    <row r="935" spans="51:75">
      <c r="AY935" s="1184"/>
      <c r="AZ935" s="1183" t="s">
        <v>1406</v>
      </c>
      <c r="BB935" s="1152">
        <v>1.37</v>
      </c>
      <c r="BC935" s="1097">
        <v>6.4</v>
      </c>
      <c r="BL935" s="1060" t="s">
        <v>1333</v>
      </c>
      <c r="BN935" s="1182"/>
      <c r="BO935" s="1060" t="s">
        <v>1405</v>
      </c>
      <c r="BW935" s="1181"/>
    </row>
    <row r="936" spans="51:75">
      <c r="AY936" s="1184"/>
      <c r="AZ936" s="1183" t="s">
        <v>1404</v>
      </c>
      <c r="BB936" s="1152">
        <v>1.94</v>
      </c>
      <c r="BC936" s="1097">
        <v>4.2</v>
      </c>
      <c r="BL936" s="1060" t="s">
        <v>1387</v>
      </c>
      <c r="BN936" s="1182"/>
      <c r="BO936" s="1060" t="s">
        <v>1403</v>
      </c>
      <c r="BW936" s="1181"/>
    </row>
    <row r="937" spans="51:75">
      <c r="AY937" s="1184"/>
      <c r="AZ937" s="1183" t="s">
        <v>1402</v>
      </c>
      <c r="BB937" s="1152">
        <v>2.92</v>
      </c>
      <c r="BC937" s="1097">
        <v>4.9000000000000004</v>
      </c>
      <c r="BJ937" s="1060" t="s">
        <v>1348</v>
      </c>
      <c r="BL937" s="1060" t="s">
        <v>1401</v>
      </c>
      <c r="BN937" s="1182"/>
      <c r="BO937" s="1060" t="s">
        <v>1400</v>
      </c>
      <c r="BW937" s="1181"/>
    </row>
    <row r="938" spans="51:75">
      <c r="AY938" s="1184"/>
      <c r="AZ938" s="1183" t="s">
        <v>1399</v>
      </c>
      <c r="BB938" s="1152">
        <v>0.85</v>
      </c>
      <c r="BC938" s="1097">
        <v>7</v>
      </c>
      <c r="BL938" s="1060" t="s">
        <v>1333</v>
      </c>
      <c r="BN938" s="1182"/>
      <c r="BO938" s="1060" t="s">
        <v>1398</v>
      </c>
      <c r="BW938" s="1181"/>
    </row>
    <row r="939" spans="51:75">
      <c r="AY939" s="1184"/>
      <c r="AZ939" s="1183" t="s">
        <v>1397</v>
      </c>
      <c r="BB939" s="1152">
        <v>0.74</v>
      </c>
      <c r="BC939" s="1097">
        <v>7</v>
      </c>
      <c r="BL939" s="1060" t="s">
        <v>1333</v>
      </c>
      <c r="BN939" s="1182"/>
      <c r="BO939" s="1060" t="s">
        <v>1396</v>
      </c>
      <c r="BW939" s="1181"/>
    </row>
    <row r="940" spans="51:75">
      <c r="AY940" s="1184"/>
      <c r="AZ940" s="1183" t="s">
        <v>1395</v>
      </c>
      <c r="BB940" s="1152">
        <v>5.61</v>
      </c>
      <c r="BC940" s="1097">
        <v>3.8</v>
      </c>
      <c r="BJ940" s="1060" t="s">
        <v>1348</v>
      </c>
      <c r="BL940" s="1060" t="s">
        <v>1387</v>
      </c>
      <c r="BN940" s="1182"/>
      <c r="BO940" s="1060" t="s">
        <v>1394</v>
      </c>
      <c r="BW940" s="1181"/>
    </row>
    <row r="941" spans="51:75">
      <c r="AY941" s="1184"/>
      <c r="AZ941" s="1183" t="s">
        <v>1195</v>
      </c>
      <c r="BA941" s="1172">
        <v>9</v>
      </c>
      <c r="BB941" s="1152">
        <v>4.55</v>
      </c>
      <c r="BC941" s="1097">
        <v>6.7</v>
      </c>
      <c r="BD941" s="1061">
        <v>4000</v>
      </c>
      <c r="BE941" s="1061">
        <v>5000</v>
      </c>
      <c r="BF941" s="1061">
        <v>6000</v>
      </c>
      <c r="BG941" s="1061">
        <v>8000</v>
      </c>
      <c r="BH941" s="1061">
        <v>10000</v>
      </c>
      <c r="BI941" s="1061">
        <v>12000</v>
      </c>
      <c r="BJ941" s="1060" t="s">
        <v>1348</v>
      </c>
      <c r="BL941" s="1060" t="s">
        <v>1390</v>
      </c>
      <c r="BN941" s="1182"/>
      <c r="BO941" s="1060" t="s">
        <v>1393</v>
      </c>
      <c r="BW941" s="1181"/>
    </row>
    <row r="942" spans="51:75">
      <c r="AY942" s="1184"/>
      <c r="AZ942" s="1183" t="s">
        <v>1196</v>
      </c>
      <c r="BA942" s="1172">
        <v>9</v>
      </c>
      <c r="BB942" s="1152">
        <v>4.55</v>
      </c>
      <c r="BC942" s="1097">
        <v>6.7</v>
      </c>
      <c r="BD942" s="1061">
        <v>4000</v>
      </c>
      <c r="BE942" s="1061">
        <v>5000</v>
      </c>
      <c r="BF942" s="1061">
        <v>6000</v>
      </c>
      <c r="BG942" s="1061">
        <v>8000</v>
      </c>
      <c r="BH942" s="1061">
        <v>10000</v>
      </c>
      <c r="BI942" s="1061">
        <v>12000</v>
      </c>
      <c r="BJ942" s="1060" t="s">
        <v>1348</v>
      </c>
      <c r="BL942" s="1060" t="s">
        <v>1390</v>
      </c>
      <c r="BN942" s="1182"/>
      <c r="BO942" s="1060" t="s">
        <v>1392</v>
      </c>
      <c r="BW942" s="1181"/>
    </row>
    <row r="943" spans="51:75">
      <c r="AY943" s="1184"/>
      <c r="AZ943" s="1183" t="s">
        <v>1197</v>
      </c>
      <c r="BA943" s="1172">
        <v>9</v>
      </c>
      <c r="BB943" s="1152">
        <v>4.55</v>
      </c>
      <c r="BC943" s="1097">
        <v>6.7</v>
      </c>
      <c r="BD943" s="1061">
        <v>4000</v>
      </c>
      <c r="BE943" s="1061">
        <v>5000</v>
      </c>
      <c r="BF943" s="1061">
        <v>6000</v>
      </c>
      <c r="BG943" s="1061">
        <v>8000</v>
      </c>
      <c r="BH943" s="1061">
        <v>10000</v>
      </c>
      <c r="BI943" s="1061">
        <v>12000</v>
      </c>
      <c r="BJ943" s="1060" t="s">
        <v>1348</v>
      </c>
      <c r="BL943" s="1060" t="s">
        <v>1390</v>
      </c>
      <c r="BN943" s="1182"/>
      <c r="BO943" s="1060" t="s">
        <v>1391</v>
      </c>
      <c r="BW943" s="1181"/>
    </row>
    <row r="944" spans="51:75">
      <c r="AY944" s="1184"/>
      <c r="AZ944" s="1183" t="s">
        <v>1198</v>
      </c>
      <c r="BA944" s="1172">
        <v>9</v>
      </c>
      <c r="BB944" s="1152">
        <v>4.55</v>
      </c>
      <c r="BC944" s="1097">
        <v>6.7</v>
      </c>
      <c r="BD944" s="1061">
        <v>4000</v>
      </c>
      <c r="BE944" s="1061">
        <v>5000</v>
      </c>
      <c r="BF944" s="1061">
        <v>6000</v>
      </c>
      <c r="BG944" s="1061">
        <v>8000</v>
      </c>
      <c r="BH944" s="1061">
        <v>10000</v>
      </c>
      <c r="BI944" s="1061">
        <v>12000</v>
      </c>
      <c r="BJ944" s="1060" t="s">
        <v>1348</v>
      </c>
      <c r="BL944" s="1060" t="s">
        <v>1390</v>
      </c>
      <c r="BN944" s="1182"/>
      <c r="BO944" s="1060" t="s">
        <v>1389</v>
      </c>
      <c r="BW944" s="1181"/>
    </row>
    <row r="945" spans="51:75">
      <c r="AY945" s="1184"/>
      <c r="AZ945" s="1183" t="s">
        <v>1388</v>
      </c>
      <c r="BA945" s="1172">
        <v>8</v>
      </c>
      <c r="BB945" s="1152">
        <v>8.3800000000000008</v>
      </c>
      <c r="BC945" s="1097">
        <v>6.1</v>
      </c>
      <c r="BD945" s="1061">
        <v>3000</v>
      </c>
      <c r="BE945" s="1061">
        <v>4000</v>
      </c>
      <c r="BF945" s="1061">
        <v>5000</v>
      </c>
      <c r="BG945" s="1061">
        <v>8000</v>
      </c>
      <c r="BH945" s="1061">
        <v>11000</v>
      </c>
      <c r="BI945" s="1061">
        <v>14000</v>
      </c>
      <c r="BJ945" s="1060" t="s">
        <v>1320</v>
      </c>
      <c r="BL945" s="1060" t="s">
        <v>1387</v>
      </c>
      <c r="BN945" s="1182"/>
      <c r="BO945" s="1060" t="s">
        <v>1386</v>
      </c>
      <c r="BW945" s="1181"/>
    </row>
    <row r="946" spans="51:75">
      <c r="AY946" s="1184"/>
      <c r="AZ946" s="1183" t="s">
        <v>1041</v>
      </c>
      <c r="BA946" s="1172">
        <v>13</v>
      </c>
      <c r="BB946" s="1152">
        <v>1.63</v>
      </c>
      <c r="BC946" s="1097">
        <v>7.1</v>
      </c>
      <c r="BD946" s="1061">
        <v>3000</v>
      </c>
      <c r="BE946" s="1061">
        <v>4000</v>
      </c>
      <c r="BF946" s="1061">
        <v>10000</v>
      </c>
      <c r="BG946" s="1061">
        <v>6000</v>
      </c>
      <c r="BH946" s="1061">
        <v>8000</v>
      </c>
      <c r="BI946" s="1061">
        <v>10000</v>
      </c>
      <c r="BJ946" s="1060" t="s">
        <v>1348</v>
      </c>
      <c r="BL946" s="1060" t="s">
        <v>1324</v>
      </c>
      <c r="BN946" s="1182"/>
      <c r="BO946" s="1060" t="s">
        <v>1385</v>
      </c>
      <c r="BW946" s="1181"/>
    </row>
    <row r="947" spans="51:75">
      <c r="AY947" s="1184"/>
      <c r="AZ947" s="1183" t="s">
        <v>1022</v>
      </c>
      <c r="BA947" s="1172">
        <v>4</v>
      </c>
      <c r="BB947" s="1152">
        <v>0.88</v>
      </c>
      <c r="BC947" s="1097">
        <v>7.6</v>
      </c>
      <c r="BD947" s="1061">
        <v>2000</v>
      </c>
      <c r="BE947" s="1061">
        <v>3000</v>
      </c>
      <c r="BF947" s="1061">
        <v>4000</v>
      </c>
      <c r="BG947" s="1061">
        <v>5000</v>
      </c>
      <c r="BH947" s="1061">
        <v>7000</v>
      </c>
      <c r="BI947" s="1061">
        <v>9000</v>
      </c>
      <c r="BJ947" s="1060" t="s">
        <v>1382</v>
      </c>
      <c r="BL947" s="1060" t="s">
        <v>1324</v>
      </c>
      <c r="BN947" s="1182"/>
      <c r="BO947" s="1060" t="s">
        <v>1384</v>
      </c>
      <c r="BW947" s="1181"/>
    </row>
    <row r="948" spans="51:75">
      <c r="AY948" s="1184"/>
      <c r="AZ948" s="1183" t="s">
        <v>1023</v>
      </c>
      <c r="BA948" s="1172">
        <v>4</v>
      </c>
      <c r="BB948" s="1152">
        <v>0.88</v>
      </c>
      <c r="BC948" s="1097">
        <v>7.6</v>
      </c>
      <c r="BD948" s="1061">
        <v>2000</v>
      </c>
      <c r="BE948" s="1061">
        <v>3000</v>
      </c>
      <c r="BF948" s="1061">
        <v>4000</v>
      </c>
      <c r="BG948" s="1061">
        <v>5000</v>
      </c>
      <c r="BH948" s="1061">
        <v>7000</v>
      </c>
      <c r="BI948" s="1061">
        <v>9000</v>
      </c>
      <c r="BJ948" s="1060" t="s">
        <v>1382</v>
      </c>
      <c r="BL948" s="1060" t="s">
        <v>1324</v>
      </c>
      <c r="BN948" s="1182"/>
      <c r="BO948" s="1060" t="s">
        <v>1383</v>
      </c>
      <c r="BW948" s="1181"/>
    </row>
    <row r="949" spans="51:75">
      <c r="AY949" s="1184"/>
      <c r="AZ949" s="1183" t="s">
        <v>1024</v>
      </c>
      <c r="BA949" s="1172">
        <v>4</v>
      </c>
      <c r="BB949" s="1152">
        <v>0.88</v>
      </c>
      <c r="BC949" s="1097">
        <v>7.6</v>
      </c>
      <c r="BD949" s="1061">
        <v>2000</v>
      </c>
      <c r="BE949" s="1061">
        <v>3000</v>
      </c>
      <c r="BF949" s="1061">
        <v>4000</v>
      </c>
      <c r="BG949" s="1061">
        <v>5000</v>
      </c>
      <c r="BH949" s="1061">
        <v>7000</v>
      </c>
      <c r="BI949" s="1061">
        <v>9000</v>
      </c>
      <c r="BJ949" s="1060" t="s">
        <v>1382</v>
      </c>
      <c r="BL949" s="1060" t="s">
        <v>1324</v>
      </c>
      <c r="BN949" s="1182"/>
      <c r="BO949" s="1060" t="s">
        <v>1381</v>
      </c>
      <c r="BW949" s="1181"/>
    </row>
    <row r="950" spans="51:75">
      <c r="AY950" s="1184"/>
      <c r="AZ950" s="1183" t="s">
        <v>910</v>
      </c>
      <c r="BA950" s="1172">
        <v>2</v>
      </c>
      <c r="BB950" s="1152">
        <v>1.79</v>
      </c>
      <c r="BC950" s="1097">
        <v>5.4</v>
      </c>
      <c r="BD950" s="1061">
        <v>700</v>
      </c>
      <c r="BE950" s="1061">
        <v>1200</v>
      </c>
      <c r="BF950" s="1061">
        <v>1700</v>
      </c>
      <c r="BG950" s="1061">
        <v>2000</v>
      </c>
      <c r="BH950" s="1061">
        <v>2500</v>
      </c>
      <c r="BI950" s="1061">
        <v>3000</v>
      </c>
      <c r="BJ950" s="1060" t="s">
        <v>1320</v>
      </c>
      <c r="BL950" s="1060" t="s">
        <v>1329</v>
      </c>
      <c r="BN950" s="1182"/>
      <c r="BO950" s="1060" t="s">
        <v>1380</v>
      </c>
      <c r="BW950" s="1181"/>
    </row>
    <row r="951" spans="51:75">
      <c r="AY951" s="1184"/>
      <c r="AZ951" s="1183" t="s">
        <v>911</v>
      </c>
      <c r="BA951" s="1172">
        <v>2</v>
      </c>
      <c r="BB951" s="1152">
        <v>1.79</v>
      </c>
      <c r="BC951" s="1097">
        <v>5.4</v>
      </c>
      <c r="BD951" s="1061">
        <v>700</v>
      </c>
      <c r="BE951" s="1061">
        <v>1200</v>
      </c>
      <c r="BF951" s="1061">
        <v>1700</v>
      </c>
      <c r="BG951" s="1061">
        <v>2000</v>
      </c>
      <c r="BH951" s="1061">
        <v>2500</v>
      </c>
      <c r="BI951" s="1061">
        <v>3000</v>
      </c>
      <c r="BJ951" s="1060" t="s">
        <v>1320</v>
      </c>
      <c r="BL951" s="1060" t="s">
        <v>1329</v>
      </c>
      <c r="BN951" s="1182"/>
      <c r="BO951" s="1060" t="s">
        <v>1379</v>
      </c>
      <c r="BW951" s="1181"/>
    </row>
    <row r="952" spans="51:75">
      <c r="AY952" s="1184"/>
      <c r="AZ952" s="1183" t="s">
        <v>912</v>
      </c>
      <c r="BA952" s="1172">
        <v>2</v>
      </c>
      <c r="BB952" s="1152">
        <v>1.42</v>
      </c>
      <c r="BC952" s="1097">
        <v>5.5</v>
      </c>
      <c r="BD952" s="1061">
        <v>700</v>
      </c>
      <c r="BE952" s="1061">
        <v>1200</v>
      </c>
      <c r="BF952" s="1061">
        <v>1700</v>
      </c>
      <c r="BG952" s="1061">
        <v>2000</v>
      </c>
      <c r="BH952" s="1061">
        <v>2500</v>
      </c>
      <c r="BI952" s="1061">
        <v>3000</v>
      </c>
      <c r="BJ952" s="1060" t="s">
        <v>1320</v>
      </c>
      <c r="BL952" s="1060" t="s">
        <v>1329</v>
      </c>
      <c r="BN952" s="1182"/>
      <c r="BO952" s="1060" t="s">
        <v>1378</v>
      </c>
      <c r="BW952" s="1181"/>
    </row>
    <row r="953" spans="51:75">
      <c r="AY953" s="1184"/>
      <c r="AZ953" s="1183" t="s">
        <v>1242</v>
      </c>
      <c r="BN953" s="1182"/>
      <c r="BO953" s="1060" t="s">
        <v>1377</v>
      </c>
      <c r="BW953" s="1181"/>
    </row>
    <row r="954" spans="51:75">
      <c r="AY954" s="1184"/>
      <c r="AZ954" s="1183" t="s">
        <v>1242</v>
      </c>
      <c r="BN954" s="1182"/>
      <c r="BO954" s="1060" t="s">
        <v>1376</v>
      </c>
      <c r="BW954" s="1181"/>
    </row>
    <row r="955" spans="51:75">
      <c r="AY955" s="1184"/>
      <c r="AZ955" s="1183" t="s">
        <v>1045</v>
      </c>
      <c r="BA955" s="1172">
        <v>5</v>
      </c>
      <c r="BB955" s="1152">
        <v>1.65</v>
      </c>
      <c r="BC955" s="1097">
        <v>6.3</v>
      </c>
      <c r="BD955" s="1061">
        <v>3000</v>
      </c>
      <c r="BE955" s="1061">
        <v>5000</v>
      </c>
      <c r="BF955" s="1061">
        <v>7000</v>
      </c>
      <c r="BG955" s="1061">
        <v>7000</v>
      </c>
      <c r="BH955" s="1061">
        <v>9000</v>
      </c>
      <c r="BI955" s="1061">
        <v>11000</v>
      </c>
      <c r="BJ955" s="1060" t="s">
        <v>1320</v>
      </c>
      <c r="BL955" s="1060" t="s">
        <v>1333</v>
      </c>
      <c r="BN955" s="1182"/>
      <c r="BO955" s="1060" t="s">
        <v>1375</v>
      </c>
      <c r="BW955" s="1181"/>
    </row>
    <row r="956" spans="51:75">
      <c r="AY956" s="1184"/>
      <c r="AZ956" s="1183" t="s">
        <v>1046</v>
      </c>
      <c r="BA956" s="1172">
        <v>5</v>
      </c>
      <c r="BB956" s="1152">
        <v>1.65</v>
      </c>
      <c r="BC956" s="1097">
        <v>6.3</v>
      </c>
      <c r="BD956" s="1061">
        <v>3000</v>
      </c>
      <c r="BE956" s="1061">
        <v>5000</v>
      </c>
      <c r="BF956" s="1061">
        <v>7000</v>
      </c>
      <c r="BG956" s="1061">
        <v>7000</v>
      </c>
      <c r="BH956" s="1061">
        <v>9000</v>
      </c>
      <c r="BI956" s="1061">
        <v>11000</v>
      </c>
      <c r="BJ956" s="1060" t="s">
        <v>1320</v>
      </c>
      <c r="BL956" s="1060" t="s">
        <v>1333</v>
      </c>
      <c r="BN956" s="1182"/>
      <c r="BO956" s="1060" t="s">
        <v>1374</v>
      </c>
      <c r="BW956" s="1181"/>
    </row>
    <row r="957" spans="51:75">
      <c r="AY957" s="1184"/>
      <c r="AZ957" s="1183" t="s">
        <v>1047</v>
      </c>
      <c r="BA957" s="1172">
        <v>5</v>
      </c>
      <c r="BB957" s="1152">
        <v>1.65</v>
      </c>
      <c r="BC957" s="1097">
        <v>6.3</v>
      </c>
      <c r="BD957" s="1061">
        <v>3000</v>
      </c>
      <c r="BE957" s="1061">
        <v>5000</v>
      </c>
      <c r="BF957" s="1061">
        <v>7000</v>
      </c>
      <c r="BG957" s="1061">
        <v>7000</v>
      </c>
      <c r="BH957" s="1061">
        <v>9000</v>
      </c>
      <c r="BI957" s="1061">
        <v>11000</v>
      </c>
      <c r="BJ957" s="1060" t="s">
        <v>1320</v>
      </c>
      <c r="BL957" s="1060" t="s">
        <v>1333</v>
      </c>
      <c r="BN957" s="1182"/>
      <c r="BO957" s="1060" t="s">
        <v>1373</v>
      </c>
      <c r="BW957" s="1181"/>
    </row>
    <row r="958" spans="51:75">
      <c r="AY958" s="1184"/>
      <c r="AZ958" s="1183" t="s">
        <v>1048</v>
      </c>
      <c r="BA958" s="1172">
        <v>5</v>
      </c>
      <c r="BB958" s="1152">
        <v>1.35</v>
      </c>
      <c r="BC958" s="1097">
        <v>6.4</v>
      </c>
      <c r="BD958" s="1061">
        <v>3000</v>
      </c>
      <c r="BE958" s="1061">
        <v>5000</v>
      </c>
      <c r="BF958" s="1061">
        <v>7000</v>
      </c>
      <c r="BG958" s="1061">
        <v>7000</v>
      </c>
      <c r="BH958" s="1061">
        <v>9000</v>
      </c>
      <c r="BI958" s="1061">
        <v>11000</v>
      </c>
      <c r="BJ958" s="1060" t="s">
        <v>1320</v>
      </c>
      <c r="BL958" s="1060" t="s">
        <v>1333</v>
      </c>
      <c r="BN958" s="1182"/>
      <c r="BO958" s="1060" t="s">
        <v>1372</v>
      </c>
      <c r="BW958" s="1181"/>
    </row>
    <row r="959" spans="51:75">
      <c r="AY959" s="1184"/>
      <c r="AZ959" s="1183" t="s">
        <v>999</v>
      </c>
      <c r="BA959" s="1172">
        <v>3</v>
      </c>
      <c r="BB959" s="1152">
        <v>1.1000000000000001</v>
      </c>
      <c r="BC959" s="1097">
        <v>7.6</v>
      </c>
      <c r="BD959" s="1061">
        <v>1000</v>
      </c>
      <c r="BE959" s="1061">
        <v>1500</v>
      </c>
      <c r="BF959" s="1061">
        <v>2000</v>
      </c>
      <c r="BG959" s="1061">
        <v>3000</v>
      </c>
      <c r="BH959" s="1061">
        <v>5000</v>
      </c>
      <c r="BI959" s="1061">
        <v>7000</v>
      </c>
      <c r="BJ959" s="1060" t="s">
        <v>1320</v>
      </c>
      <c r="BL959" s="1060" t="s">
        <v>1329</v>
      </c>
      <c r="BN959" s="1182"/>
      <c r="BO959" s="1060" t="s">
        <v>1371</v>
      </c>
      <c r="BW959" s="1181"/>
    </row>
    <row r="960" spans="51:75">
      <c r="AY960" s="1184"/>
      <c r="AZ960" s="1183" t="s">
        <v>1000</v>
      </c>
      <c r="BA960" s="1172">
        <v>3</v>
      </c>
      <c r="BB960" s="1152">
        <v>1.1000000000000001</v>
      </c>
      <c r="BC960" s="1097">
        <v>7.6</v>
      </c>
      <c r="BD960" s="1061">
        <v>1000</v>
      </c>
      <c r="BE960" s="1061">
        <v>1500</v>
      </c>
      <c r="BF960" s="1061">
        <v>2000</v>
      </c>
      <c r="BG960" s="1061">
        <v>3000</v>
      </c>
      <c r="BH960" s="1061">
        <v>5000</v>
      </c>
      <c r="BI960" s="1061">
        <v>7000</v>
      </c>
      <c r="BJ960" s="1060" t="s">
        <v>1320</v>
      </c>
      <c r="BL960" s="1060" t="s">
        <v>1329</v>
      </c>
      <c r="BN960" s="1182"/>
      <c r="BO960" s="1060" t="s">
        <v>1370</v>
      </c>
      <c r="BW960" s="1181"/>
    </row>
    <row r="961" spans="51:75">
      <c r="AY961" s="1184"/>
      <c r="AZ961" s="1183" t="s">
        <v>1001</v>
      </c>
      <c r="BA961" s="1172">
        <v>3</v>
      </c>
      <c r="BB961" s="1152">
        <v>1.1000000000000001</v>
      </c>
      <c r="BC961" s="1097">
        <v>7.6</v>
      </c>
      <c r="BD961" s="1061">
        <v>1000</v>
      </c>
      <c r="BE961" s="1061">
        <v>1500</v>
      </c>
      <c r="BF961" s="1061">
        <v>2000</v>
      </c>
      <c r="BG961" s="1061">
        <v>3000</v>
      </c>
      <c r="BH961" s="1061">
        <v>5000</v>
      </c>
      <c r="BI961" s="1061">
        <v>7000</v>
      </c>
      <c r="BJ961" s="1060" t="s">
        <v>1320</v>
      </c>
      <c r="BL961" s="1060" t="s">
        <v>1329</v>
      </c>
      <c r="BN961" s="1182"/>
      <c r="BO961" s="1060" t="s">
        <v>1369</v>
      </c>
      <c r="BW961" s="1181"/>
    </row>
    <row r="962" spans="51:75">
      <c r="AY962" s="1184"/>
      <c r="AZ962" s="1183" t="s">
        <v>1002</v>
      </c>
      <c r="BA962" s="1172">
        <v>3</v>
      </c>
      <c r="BB962" s="1152">
        <v>1.1000000000000001</v>
      </c>
      <c r="BC962" s="1097">
        <v>7.6</v>
      </c>
      <c r="BD962" s="1061">
        <v>1000</v>
      </c>
      <c r="BE962" s="1061">
        <v>1500</v>
      </c>
      <c r="BF962" s="1061">
        <v>2000</v>
      </c>
      <c r="BG962" s="1061">
        <v>3000</v>
      </c>
      <c r="BH962" s="1061">
        <v>5000</v>
      </c>
      <c r="BI962" s="1061">
        <v>7000</v>
      </c>
      <c r="BJ962" s="1060" t="s">
        <v>1320</v>
      </c>
      <c r="BL962" s="1060" t="s">
        <v>1329</v>
      </c>
      <c r="BN962" s="1182"/>
      <c r="BO962" s="1060" t="s">
        <v>1368</v>
      </c>
      <c r="BW962" s="1181"/>
    </row>
    <row r="963" spans="51:75">
      <c r="AY963" s="1184"/>
      <c r="AZ963" s="1183" t="s">
        <v>792</v>
      </c>
      <c r="BA963" s="1172">
        <v>1</v>
      </c>
      <c r="BB963" s="1152">
        <v>1.31</v>
      </c>
      <c r="BC963" s="1097">
        <v>7</v>
      </c>
      <c r="BD963" s="1061">
        <v>400</v>
      </c>
      <c r="BE963" s="1061">
        <v>800</v>
      </c>
      <c r="BF963" s="1061">
        <v>1200</v>
      </c>
      <c r="BG963" s="1061">
        <v>1500</v>
      </c>
      <c r="BH963" s="1061">
        <v>2000</v>
      </c>
      <c r="BI963" s="1061">
        <v>2500</v>
      </c>
      <c r="BJ963" s="1060" t="s">
        <v>1320</v>
      </c>
      <c r="BL963" s="1060" t="s">
        <v>1329</v>
      </c>
      <c r="BN963" s="1182"/>
      <c r="BO963" s="1060" t="s">
        <v>1367</v>
      </c>
      <c r="BW963" s="1181"/>
    </row>
    <row r="964" spans="51:75">
      <c r="AY964" s="1184"/>
      <c r="AZ964" s="1183" t="s">
        <v>793</v>
      </c>
      <c r="BA964" s="1172">
        <v>1</v>
      </c>
      <c r="BB964" s="1152">
        <v>1.31</v>
      </c>
      <c r="BC964" s="1097">
        <v>7</v>
      </c>
      <c r="BD964" s="1061">
        <v>400</v>
      </c>
      <c r="BE964" s="1061">
        <v>800</v>
      </c>
      <c r="BF964" s="1061">
        <v>1200</v>
      </c>
      <c r="BG964" s="1061">
        <v>1500</v>
      </c>
      <c r="BH964" s="1061">
        <v>2000</v>
      </c>
      <c r="BI964" s="1061">
        <v>2500</v>
      </c>
      <c r="BJ964" s="1060" t="s">
        <v>1320</v>
      </c>
      <c r="BL964" s="1060" t="s">
        <v>1329</v>
      </c>
      <c r="BN964" s="1182"/>
      <c r="BO964" s="1060" t="s">
        <v>1366</v>
      </c>
      <c r="BW964" s="1181"/>
    </row>
    <row r="965" spans="51:75">
      <c r="AY965" s="1184"/>
      <c r="AZ965" s="1183" t="s">
        <v>794</v>
      </c>
      <c r="BA965" s="1172">
        <v>1</v>
      </c>
      <c r="BB965" s="1152">
        <v>1.31</v>
      </c>
      <c r="BC965" s="1097">
        <v>7</v>
      </c>
      <c r="BD965" s="1061">
        <v>400</v>
      </c>
      <c r="BE965" s="1061">
        <v>800</v>
      </c>
      <c r="BF965" s="1061">
        <v>1200</v>
      </c>
      <c r="BG965" s="1061">
        <v>1500</v>
      </c>
      <c r="BH965" s="1061">
        <v>2000</v>
      </c>
      <c r="BI965" s="1061">
        <v>2500</v>
      </c>
      <c r="BJ965" s="1060" t="s">
        <v>1320</v>
      </c>
      <c r="BL965" s="1060" t="s">
        <v>1329</v>
      </c>
      <c r="BN965" s="1182"/>
      <c r="BO965" s="1060" t="s">
        <v>1365</v>
      </c>
      <c r="BW965" s="1181"/>
    </row>
    <row r="966" spans="51:75">
      <c r="AY966" s="1184"/>
      <c r="AZ966" s="1183" t="s">
        <v>795</v>
      </c>
      <c r="BA966" s="1172">
        <v>1</v>
      </c>
      <c r="BB966" s="1152">
        <v>1.31</v>
      </c>
      <c r="BC966" s="1097">
        <v>6.6</v>
      </c>
      <c r="BD966" s="1061">
        <v>400</v>
      </c>
      <c r="BE966" s="1061">
        <v>800</v>
      </c>
      <c r="BF966" s="1061">
        <v>1200</v>
      </c>
      <c r="BG966" s="1061">
        <v>1500</v>
      </c>
      <c r="BH966" s="1061">
        <v>2000</v>
      </c>
      <c r="BI966" s="1061">
        <v>2500</v>
      </c>
      <c r="BJ966" s="1060" t="s">
        <v>1320</v>
      </c>
      <c r="BL966" s="1060" t="s">
        <v>1329</v>
      </c>
      <c r="BN966" s="1182"/>
      <c r="BO966" s="1060" t="s">
        <v>1364</v>
      </c>
      <c r="BW966" s="1181"/>
    </row>
    <row r="967" spans="51:75">
      <c r="AY967" s="1184"/>
      <c r="AZ967" s="1183" t="s">
        <v>796</v>
      </c>
      <c r="BA967" s="1172">
        <v>1</v>
      </c>
      <c r="BB967" s="1152">
        <v>1.31</v>
      </c>
      <c r="BC967" s="1097">
        <v>6.6</v>
      </c>
      <c r="BD967" s="1061">
        <v>400</v>
      </c>
      <c r="BE967" s="1061">
        <v>800</v>
      </c>
      <c r="BF967" s="1061">
        <v>1200</v>
      </c>
      <c r="BG967" s="1061">
        <v>1500</v>
      </c>
      <c r="BH967" s="1061">
        <v>2000</v>
      </c>
      <c r="BI967" s="1061">
        <v>2500</v>
      </c>
      <c r="BJ967" s="1060" t="s">
        <v>1320</v>
      </c>
      <c r="BL967" s="1060" t="s">
        <v>1329</v>
      </c>
      <c r="BN967" s="1182"/>
      <c r="BO967" s="1060" t="s">
        <v>1363</v>
      </c>
      <c r="BW967" s="1181"/>
    </row>
    <row r="968" spans="51:75">
      <c r="AY968" s="1184"/>
      <c r="AZ968" s="1183" t="s">
        <v>797</v>
      </c>
      <c r="BA968" s="1172">
        <v>1</v>
      </c>
      <c r="BB968" s="1152">
        <v>1.1299999999999999</v>
      </c>
      <c r="BC968" s="1097">
        <v>6.7</v>
      </c>
      <c r="BD968" s="1061">
        <v>400</v>
      </c>
      <c r="BE968" s="1061">
        <v>800</v>
      </c>
      <c r="BF968" s="1061">
        <v>1200</v>
      </c>
      <c r="BG968" s="1061">
        <v>1500</v>
      </c>
      <c r="BH968" s="1061">
        <v>2000</v>
      </c>
      <c r="BI968" s="1061">
        <v>2500</v>
      </c>
      <c r="BJ968" s="1060" t="s">
        <v>1320</v>
      </c>
      <c r="BL968" s="1060" t="s">
        <v>1329</v>
      </c>
      <c r="BN968" s="1182"/>
      <c r="BO968" s="1060" t="s">
        <v>1362</v>
      </c>
      <c r="BW968" s="1181"/>
    </row>
    <row r="969" spans="51:75">
      <c r="AY969" s="1184"/>
      <c r="AZ969" s="1183" t="s">
        <v>798</v>
      </c>
      <c r="BA969" s="1172">
        <v>1</v>
      </c>
      <c r="BB969" s="1152">
        <v>1.31</v>
      </c>
      <c r="BC969" s="1097">
        <v>6.6</v>
      </c>
      <c r="BD969" s="1061">
        <v>400</v>
      </c>
      <c r="BE969" s="1061">
        <v>800</v>
      </c>
      <c r="BF969" s="1061">
        <v>1200</v>
      </c>
      <c r="BG969" s="1061">
        <v>1500</v>
      </c>
      <c r="BH969" s="1061">
        <v>2000</v>
      </c>
      <c r="BI969" s="1061">
        <v>2500</v>
      </c>
      <c r="BJ969" s="1060" t="s">
        <v>1320</v>
      </c>
      <c r="BL969" s="1060" t="s">
        <v>1329</v>
      </c>
      <c r="BN969" s="1182"/>
      <c r="BO969" s="1060" t="s">
        <v>1361</v>
      </c>
      <c r="BW969" s="1181"/>
    </row>
    <row r="970" spans="51:75">
      <c r="AY970" s="1184"/>
      <c r="AZ970" s="1183" t="s">
        <v>799</v>
      </c>
      <c r="BA970" s="1172">
        <v>1</v>
      </c>
      <c r="BB970" s="1152">
        <v>1.1200000000000001</v>
      </c>
      <c r="BC970" s="1097">
        <v>6.6</v>
      </c>
      <c r="BD970" s="1061">
        <v>400</v>
      </c>
      <c r="BE970" s="1061">
        <v>800</v>
      </c>
      <c r="BF970" s="1061">
        <v>1200</v>
      </c>
      <c r="BG970" s="1061">
        <v>1500</v>
      </c>
      <c r="BH970" s="1061">
        <v>2000</v>
      </c>
      <c r="BI970" s="1061">
        <v>2500</v>
      </c>
      <c r="BJ970" s="1060" t="s">
        <v>1320</v>
      </c>
      <c r="BL970" s="1060" t="s">
        <v>1329</v>
      </c>
      <c r="BN970" s="1182"/>
      <c r="BO970" s="1060" t="s">
        <v>1360</v>
      </c>
      <c r="BW970" s="1181"/>
    </row>
    <row r="971" spans="51:75">
      <c r="AY971" s="1184"/>
      <c r="AZ971" s="1183" t="s">
        <v>917</v>
      </c>
      <c r="BA971" s="1172">
        <v>2</v>
      </c>
      <c r="BB971" s="1152">
        <v>0.75</v>
      </c>
      <c r="BC971" s="1097">
        <v>6.6</v>
      </c>
      <c r="BD971" s="1061">
        <v>700</v>
      </c>
      <c r="BE971" s="1061">
        <v>1200</v>
      </c>
      <c r="BF971" s="1061">
        <v>1700</v>
      </c>
      <c r="BG971" s="1061">
        <v>2000</v>
      </c>
      <c r="BH971" s="1061">
        <v>2500</v>
      </c>
      <c r="BI971" s="1061">
        <v>3000</v>
      </c>
      <c r="BJ971" s="1060" t="s">
        <v>1320</v>
      </c>
      <c r="BL971" s="1060" t="s">
        <v>1333</v>
      </c>
      <c r="BN971" s="1182"/>
      <c r="BO971" s="1060" t="s">
        <v>1359</v>
      </c>
      <c r="BW971" s="1181"/>
    </row>
    <row r="972" spans="51:75">
      <c r="AY972" s="1184"/>
      <c r="AZ972" s="1183" t="s">
        <v>1003</v>
      </c>
      <c r="BA972" s="1172">
        <v>3</v>
      </c>
      <c r="BB972" s="1152">
        <v>1.29</v>
      </c>
      <c r="BC972" s="1097">
        <v>6.7</v>
      </c>
      <c r="BD972" s="1061">
        <v>1000</v>
      </c>
      <c r="BE972" s="1061">
        <v>1500</v>
      </c>
      <c r="BF972" s="1061">
        <v>2000</v>
      </c>
      <c r="BG972" s="1061">
        <v>3000</v>
      </c>
      <c r="BH972" s="1061">
        <v>5000</v>
      </c>
      <c r="BI972" s="1061">
        <v>7000</v>
      </c>
      <c r="BJ972" s="1060" t="s">
        <v>1320</v>
      </c>
      <c r="BL972" s="1060" t="s">
        <v>1333</v>
      </c>
      <c r="BN972" s="1182"/>
      <c r="BO972" s="1060" t="s">
        <v>1358</v>
      </c>
      <c r="BW972" s="1181"/>
    </row>
    <row r="973" spans="51:75">
      <c r="AY973" s="1184"/>
      <c r="AZ973" s="1183" t="s">
        <v>1004</v>
      </c>
      <c r="BA973" s="1172">
        <v>3</v>
      </c>
      <c r="BB973" s="1152">
        <v>1.29</v>
      </c>
      <c r="BC973" s="1097">
        <v>6.7</v>
      </c>
      <c r="BD973" s="1061">
        <v>1000</v>
      </c>
      <c r="BE973" s="1061">
        <v>1500</v>
      </c>
      <c r="BF973" s="1061">
        <v>2000</v>
      </c>
      <c r="BG973" s="1061">
        <v>3000</v>
      </c>
      <c r="BH973" s="1061">
        <v>5000</v>
      </c>
      <c r="BI973" s="1061">
        <v>7000</v>
      </c>
      <c r="BJ973" s="1060" t="s">
        <v>1320</v>
      </c>
      <c r="BL973" s="1060" t="s">
        <v>1333</v>
      </c>
      <c r="BN973" s="1182"/>
      <c r="BO973" s="1060" t="s">
        <v>1357</v>
      </c>
      <c r="BW973" s="1181"/>
    </row>
    <row r="974" spans="51:75">
      <c r="AY974" s="1184"/>
      <c r="AZ974" s="1183" t="s">
        <v>1005</v>
      </c>
      <c r="BA974" s="1172">
        <v>3</v>
      </c>
      <c r="BB974" s="1152">
        <v>1.29</v>
      </c>
      <c r="BC974" s="1097">
        <v>6.7</v>
      </c>
      <c r="BD974" s="1061">
        <v>1000</v>
      </c>
      <c r="BE974" s="1061">
        <v>1500</v>
      </c>
      <c r="BF974" s="1061">
        <v>2000</v>
      </c>
      <c r="BG974" s="1061">
        <v>3000</v>
      </c>
      <c r="BH974" s="1061">
        <v>5000</v>
      </c>
      <c r="BI974" s="1061">
        <v>7000</v>
      </c>
      <c r="BJ974" s="1060" t="s">
        <v>1320</v>
      </c>
      <c r="BL974" s="1060" t="s">
        <v>1333</v>
      </c>
      <c r="BN974" s="1182"/>
      <c r="BO974" s="1060" t="s">
        <v>1356</v>
      </c>
      <c r="BW974" s="1181"/>
    </row>
    <row r="975" spans="51:75">
      <c r="AY975" s="1184"/>
      <c r="AZ975" s="1183" t="s">
        <v>1006</v>
      </c>
      <c r="BA975" s="1172">
        <v>3</v>
      </c>
      <c r="BB975" s="1152">
        <v>1.29</v>
      </c>
      <c r="BC975" s="1097">
        <v>6.7</v>
      </c>
      <c r="BD975" s="1061">
        <v>1000</v>
      </c>
      <c r="BE975" s="1061">
        <v>1500</v>
      </c>
      <c r="BF975" s="1061">
        <v>2000</v>
      </c>
      <c r="BG975" s="1061">
        <v>3000</v>
      </c>
      <c r="BH975" s="1061">
        <v>5000</v>
      </c>
      <c r="BI975" s="1061">
        <v>7000</v>
      </c>
      <c r="BJ975" s="1060" t="s">
        <v>1320</v>
      </c>
      <c r="BL975" s="1060" t="s">
        <v>1333</v>
      </c>
      <c r="BN975" s="1182"/>
      <c r="BO975" s="1060" t="s">
        <v>1355</v>
      </c>
      <c r="BW975" s="1181"/>
    </row>
    <row r="976" spans="51:75">
      <c r="AY976" s="1184"/>
      <c r="AZ976" s="1183" t="s">
        <v>1007</v>
      </c>
      <c r="BA976" s="1172">
        <v>3</v>
      </c>
      <c r="BB976" s="1152">
        <v>1.29</v>
      </c>
      <c r="BC976" s="1097">
        <v>6.7</v>
      </c>
      <c r="BD976" s="1061">
        <v>1000</v>
      </c>
      <c r="BE976" s="1061">
        <v>1500</v>
      </c>
      <c r="BF976" s="1061">
        <v>2000</v>
      </c>
      <c r="BG976" s="1061">
        <v>3000</v>
      </c>
      <c r="BH976" s="1061">
        <v>5000</v>
      </c>
      <c r="BI976" s="1061">
        <v>7000</v>
      </c>
      <c r="BJ976" s="1060" t="s">
        <v>1320</v>
      </c>
      <c r="BL976" s="1060" t="s">
        <v>1333</v>
      </c>
      <c r="BN976" s="1182"/>
      <c r="BO976" s="1060" t="s">
        <v>1354</v>
      </c>
      <c r="BW976" s="1181"/>
    </row>
    <row r="977" spans="51:75">
      <c r="AY977" s="1184"/>
      <c r="AZ977" s="1183" t="s">
        <v>1008</v>
      </c>
      <c r="BA977" s="1172">
        <v>3</v>
      </c>
      <c r="BB977" s="1152">
        <v>1.29</v>
      </c>
      <c r="BC977" s="1097">
        <v>6.7</v>
      </c>
      <c r="BD977" s="1061">
        <v>1000</v>
      </c>
      <c r="BE977" s="1061">
        <v>1500</v>
      </c>
      <c r="BF977" s="1061">
        <v>2000</v>
      </c>
      <c r="BG977" s="1061">
        <v>3000</v>
      </c>
      <c r="BH977" s="1061">
        <v>5000</v>
      </c>
      <c r="BI977" s="1061">
        <v>7000</v>
      </c>
      <c r="BJ977" s="1060" t="s">
        <v>1320</v>
      </c>
      <c r="BL977" s="1060" t="s">
        <v>1333</v>
      </c>
      <c r="BN977" s="1182"/>
      <c r="BO977" s="1060" t="s">
        <v>1353</v>
      </c>
      <c r="BW977" s="1181"/>
    </row>
    <row r="978" spans="51:75">
      <c r="AY978" s="1184"/>
      <c r="AZ978" s="1183" t="s">
        <v>1009</v>
      </c>
      <c r="BA978" s="1172">
        <v>3</v>
      </c>
      <c r="BB978" s="1152">
        <v>1.4</v>
      </c>
      <c r="BC978" s="1097">
        <v>6.1</v>
      </c>
      <c r="BD978" s="1061">
        <v>1000</v>
      </c>
      <c r="BE978" s="1061">
        <v>1500</v>
      </c>
      <c r="BF978" s="1061">
        <v>2000</v>
      </c>
      <c r="BG978" s="1061">
        <v>3000</v>
      </c>
      <c r="BH978" s="1061">
        <v>5000</v>
      </c>
      <c r="BI978" s="1061">
        <v>7000</v>
      </c>
      <c r="BJ978" s="1060" t="s">
        <v>1348</v>
      </c>
      <c r="BL978" s="1060" t="s">
        <v>1333</v>
      </c>
      <c r="BN978" s="1182"/>
      <c r="BO978" s="1060" t="s">
        <v>1352</v>
      </c>
      <c r="BW978" s="1181"/>
    </row>
    <row r="979" spans="51:75">
      <c r="AY979" s="1184"/>
      <c r="AZ979" s="1183" t="s">
        <v>1010</v>
      </c>
      <c r="BA979" s="1172">
        <v>3</v>
      </c>
      <c r="BB979" s="1152">
        <v>1.4</v>
      </c>
      <c r="BC979" s="1097">
        <v>6.1</v>
      </c>
      <c r="BD979" s="1061">
        <v>1000</v>
      </c>
      <c r="BE979" s="1061">
        <v>1500</v>
      </c>
      <c r="BF979" s="1061">
        <v>2000</v>
      </c>
      <c r="BG979" s="1061">
        <v>3000</v>
      </c>
      <c r="BH979" s="1061">
        <v>5000</v>
      </c>
      <c r="BI979" s="1061">
        <v>7000</v>
      </c>
      <c r="BJ979" s="1060" t="s">
        <v>1348</v>
      </c>
      <c r="BL979" s="1060" t="s">
        <v>1333</v>
      </c>
      <c r="BN979" s="1182"/>
      <c r="BO979" s="1060" t="s">
        <v>1351</v>
      </c>
      <c r="BW979" s="1181"/>
    </row>
    <row r="980" spans="51:75">
      <c r="AY980" s="1184"/>
      <c r="AZ980" s="1183" t="s">
        <v>1011</v>
      </c>
      <c r="BA980" s="1172">
        <v>3</v>
      </c>
      <c r="BB980" s="1152">
        <v>1.4</v>
      </c>
      <c r="BC980" s="1097">
        <v>6.1</v>
      </c>
      <c r="BD980" s="1061">
        <v>1000</v>
      </c>
      <c r="BE980" s="1061">
        <v>1500</v>
      </c>
      <c r="BF980" s="1061">
        <v>2000</v>
      </c>
      <c r="BG980" s="1061">
        <v>3000</v>
      </c>
      <c r="BH980" s="1061">
        <v>5000</v>
      </c>
      <c r="BI980" s="1061">
        <v>7000</v>
      </c>
      <c r="BJ980" s="1060" t="s">
        <v>1348</v>
      </c>
      <c r="BL980" s="1060" t="s">
        <v>1333</v>
      </c>
      <c r="BN980" s="1182"/>
      <c r="BO980" s="1060" t="s">
        <v>1350</v>
      </c>
      <c r="BW980" s="1181"/>
    </row>
    <row r="981" spans="51:75">
      <c r="AY981" s="1184"/>
      <c r="AZ981" s="1183" t="s">
        <v>1012</v>
      </c>
      <c r="BA981" s="1172">
        <v>3</v>
      </c>
      <c r="BB981" s="1152">
        <v>1.4</v>
      </c>
      <c r="BC981" s="1097">
        <v>6.1</v>
      </c>
      <c r="BD981" s="1061">
        <v>1000</v>
      </c>
      <c r="BE981" s="1061">
        <v>1500</v>
      </c>
      <c r="BF981" s="1061">
        <v>2000</v>
      </c>
      <c r="BG981" s="1061">
        <v>3000</v>
      </c>
      <c r="BH981" s="1061">
        <v>5000</v>
      </c>
      <c r="BI981" s="1061">
        <v>7000</v>
      </c>
      <c r="BJ981" s="1060" t="s">
        <v>1348</v>
      </c>
      <c r="BL981" s="1060" t="s">
        <v>1333</v>
      </c>
      <c r="BN981" s="1182"/>
      <c r="BO981" s="1060" t="s">
        <v>1349</v>
      </c>
      <c r="BW981" s="1181"/>
    </row>
    <row r="982" spans="51:75">
      <c r="AY982" s="1184"/>
      <c r="AZ982" s="1183" t="s">
        <v>1013</v>
      </c>
      <c r="BA982" s="1172">
        <v>3</v>
      </c>
      <c r="BB982" s="1152">
        <v>1.4</v>
      </c>
      <c r="BC982" s="1097">
        <v>6.1</v>
      </c>
      <c r="BD982" s="1061">
        <v>1000</v>
      </c>
      <c r="BE982" s="1061">
        <v>1500</v>
      </c>
      <c r="BF982" s="1061">
        <v>2000</v>
      </c>
      <c r="BG982" s="1061">
        <v>3000</v>
      </c>
      <c r="BH982" s="1061">
        <v>5000</v>
      </c>
      <c r="BI982" s="1061">
        <v>7000</v>
      </c>
      <c r="BJ982" s="1060" t="s">
        <v>1348</v>
      </c>
      <c r="BL982" s="1060" t="s">
        <v>1333</v>
      </c>
      <c r="BN982" s="1182"/>
      <c r="BO982" s="1060" t="s">
        <v>1347</v>
      </c>
      <c r="BW982" s="1181"/>
    </row>
    <row r="983" spans="51:75">
      <c r="AY983" s="1184"/>
      <c r="AZ983" s="1183" t="s">
        <v>1186</v>
      </c>
      <c r="BA983" s="1172">
        <v>8</v>
      </c>
      <c r="BB983" s="1152">
        <v>2.46</v>
      </c>
      <c r="BC983" s="1097">
        <v>4.8</v>
      </c>
      <c r="BD983" s="1061">
        <v>3000</v>
      </c>
      <c r="BE983" s="1061">
        <v>4000</v>
      </c>
      <c r="BF983" s="1061">
        <v>5000</v>
      </c>
      <c r="BG983" s="1061">
        <v>8000</v>
      </c>
      <c r="BH983" s="1061">
        <v>11000</v>
      </c>
      <c r="BI983" s="1061">
        <v>14000</v>
      </c>
      <c r="BJ983" s="1060" t="s">
        <v>1320</v>
      </c>
      <c r="BL983" s="1060" t="s">
        <v>1341</v>
      </c>
      <c r="BN983" s="1182"/>
      <c r="BO983" s="1060" t="s">
        <v>1346</v>
      </c>
      <c r="BW983" s="1181"/>
    </row>
    <row r="984" spans="51:75">
      <c r="AY984" s="1184"/>
      <c r="AZ984" s="1183" t="s">
        <v>1181</v>
      </c>
      <c r="BA984" s="1172">
        <v>8</v>
      </c>
      <c r="BB984" s="1152">
        <v>2.46</v>
      </c>
      <c r="BC984" s="1097">
        <v>4.8</v>
      </c>
      <c r="BD984" s="1061">
        <v>3000</v>
      </c>
      <c r="BE984" s="1061">
        <v>4000</v>
      </c>
      <c r="BF984" s="1061">
        <v>5000</v>
      </c>
      <c r="BG984" s="1061">
        <v>8000</v>
      </c>
      <c r="BH984" s="1061">
        <v>11000</v>
      </c>
      <c r="BI984" s="1061">
        <v>14000</v>
      </c>
      <c r="BJ984" s="1060" t="s">
        <v>1320</v>
      </c>
      <c r="BL984" s="1060" t="s">
        <v>1341</v>
      </c>
      <c r="BN984" s="1182"/>
      <c r="BO984" s="1060" t="s">
        <v>1345</v>
      </c>
      <c r="BW984" s="1181"/>
    </row>
    <row r="985" spans="51:75">
      <c r="AY985" s="1184"/>
      <c r="AZ985" s="1183" t="s">
        <v>1182</v>
      </c>
      <c r="BA985" s="1172">
        <v>8</v>
      </c>
      <c r="BB985" s="1152">
        <v>2.46</v>
      </c>
      <c r="BC985" s="1097">
        <v>4.8</v>
      </c>
      <c r="BD985" s="1061">
        <v>3000</v>
      </c>
      <c r="BE985" s="1061">
        <v>4000</v>
      </c>
      <c r="BF985" s="1061">
        <v>5000</v>
      </c>
      <c r="BG985" s="1061">
        <v>8000</v>
      </c>
      <c r="BH985" s="1061">
        <v>11000</v>
      </c>
      <c r="BI985" s="1061">
        <v>14000</v>
      </c>
      <c r="BJ985" s="1060" t="s">
        <v>1320</v>
      </c>
      <c r="BL985" s="1060" t="s">
        <v>1341</v>
      </c>
      <c r="BN985" s="1182"/>
      <c r="BO985" s="1060" t="s">
        <v>1344</v>
      </c>
      <c r="BW985" s="1181"/>
    </row>
    <row r="986" spans="51:75">
      <c r="AY986" s="1184"/>
      <c r="AZ986" s="1183" t="s">
        <v>1183</v>
      </c>
      <c r="BA986" s="1172">
        <v>8</v>
      </c>
      <c r="BB986" s="1152">
        <v>2.46</v>
      </c>
      <c r="BC986" s="1097">
        <v>4.8</v>
      </c>
      <c r="BD986" s="1061">
        <v>3000</v>
      </c>
      <c r="BE986" s="1061">
        <v>4000</v>
      </c>
      <c r="BF986" s="1061">
        <v>5000</v>
      </c>
      <c r="BG986" s="1061">
        <v>8000</v>
      </c>
      <c r="BH986" s="1061">
        <v>11000</v>
      </c>
      <c r="BI986" s="1061">
        <v>14000</v>
      </c>
      <c r="BJ986" s="1060" t="s">
        <v>1320</v>
      </c>
      <c r="BL986" s="1060" t="s">
        <v>1341</v>
      </c>
      <c r="BN986" s="1182"/>
      <c r="BO986" s="1060" t="s">
        <v>1343</v>
      </c>
      <c r="BW986" s="1181"/>
    </row>
    <row r="987" spans="51:75">
      <c r="AY987" s="1184"/>
      <c r="AZ987" s="1183" t="s">
        <v>1184</v>
      </c>
      <c r="BA987" s="1172">
        <v>8</v>
      </c>
      <c r="BB987" s="1152">
        <v>2.46</v>
      </c>
      <c r="BC987" s="1097">
        <v>4.8</v>
      </c>
      <c r="BD987" s="1061">
        <v>3000</v>
      </c>
      <c r="BE987" s="1061">
        <v>4000</v>
      </c>
      <c r="BF987" s="1061">
        <v>5000</v>
      </c>
      <c r="BG987" s="1061">
        <v>8000</v>
      </c>
      <c r="BH987" s="1061">
        <v>11000</v>
      </c>
      <c r="BI987" s="1061">
        <v>14000</v>
      </c>
      <c r="BJ987" s="1060" t="s">
        <v>1320</v>
      </c>
      <c r="BL987" s="1060" t="s">
        <v>1341</v>
      </c>
      <c r="BN987" s="1182"/>
      <c r="BO987" s="1060" t="s">
        <v>1342</v>
      </c>
      <c r="BW987" s="1181"/>
    </row>
    <row r="988" spans="51:75">
      <c r="AY988" s="1184"/>
      <c r="AZ988" s="1183" t="s">
        <v>1185</v>
      </c>
      <c r="BA988" s="1172">
        <v>8</v>
      </c>
      <c r="BB988" s="1152">
        <v>2.23</v>
      </c>
      <c r="BC988" s="1097">
        <v>4.8</v>
      </c>
      <c r="BD988" s="1061">
        <v>3000</v>
      </c>
      <c r="BE988" s="1061">
        <v>4000</v>
      </c>
      <c r="BF988" s="1061">
        <v>5000</v>
      </c>
      <c r="BG988" s="1061">
        <v>8000</v>
      </c>
      <c r="BH988" s="1061">
        <v>11000</v>
      </c>
      <c r="BI988" s="1061">
        <v>14000</v>
      </c>
      <c r="BJ988" s="1060" t="s">
        <v>1320</v>
      </c>
      <c r="BL988" s="1060" t="s">
        <v>1341</v>
      </c>
      <c r="BN988" s="1182"/>
      <c r="BO988" s="1060" t="s">
        <v>1340</v>
      </c>
      <c r="BW988" s="1181"/>
    </row>
    <row r="989" spans="51:75">
      <c r="AY989" s="1184"/>
      <c r="AZ989" s="1183" t="s">
        <v>913</v>
      </c>
      <c r="BA989" s="1172">
        <v>2</v>
      </c>
      <c r="BB989" s="1152">
        <v>0.83</v>
      </c>
      <c r="BC989" s="1097">
        <v>7.2</v>
      </c>
      <c r="BD989" s="1061">
        <v>700</v>
      </c>
      <c r="BE989" s="1061">
        <v>1200</v>
      </c>
      <c r="BF989" s="1061">
        <v>1700</v>
      </c>
      <c r="BG989" s="1061">
        <v>2000</v>
      </c>
      <c r="BH989" s="1061">
        <v>2500</v>
      </c>
      <c r="BI989" s="1061">
        <v>3000</v>
      </c>
      <c r="BJ989" s="1060" t="s">
        <v>1320</v>
      </c>
      <c r="BL989" s="1060" t="s">
        <v>1329</v>
      </c>
      <c r="BN989" s="1182"/>
      <c r="BO989" s="1060" t="s">
        <v>1339</v>
      </c>
      <c r="BW989" s="1181"/>
    </row>
    <row r="990" spans="51:75">
      <c r="AY990" s="1184"/>
      <c r="AZ990" s="1183" t="s">
        <v>914</v>
      </c>
      <c r="BA990" s="1172">
        <v>2</v>
      </c>
      <c r="BB990" s="1152">
        <v>1</v>
      </c>
      <c r="BC990" s="1097">
        <v>7.2</v>
      </c>
      <c r="BD990" s="1061">
        <v>700</v>
      </c>
      <c r="BE990" s="1061">
        <v>1200</v>
      </c>
      <c r="BF990" s="1061">
        <v>1700</v>
      </c>
      <c r="BG990" s="1061">
        <v>2000</v>
      </c>
      <c r="BH990" s="1061">
        <v>2500</v>
      </c>
      <c r="BI990" s="1061">
        <v>3000</v>
      </c>
      <c r="BJ990" s="1060" t="s">
        <v>1320</v>
      </c>
      <c r="BL990" s="1060" t="s">
        <v>1329</v>
      </c>
      <c r="BN990" s="1182"/>
      <c r="BO990" s="1060" t="s">
        <v>1338</v>
      </c>
      <c r="BW990" s="1181"/>
    </row>
    <row r="991" spans="51:75">
      <c r="AY991" s="1184"/>
      <c r="AZ991" s="1183" t="s">
        <v>915</v>
      </c>
      <c r="BA991" s="1172">
        <v>2</v>
      </c>
      <c r="BB991" s="1152">
        <v>0.83</v>
      </c>
      <c r="BC991" s="1097">
        <v>7.2</v>
      </c>
      <c r="BD991" s="1061">
        <v>700</v>
      </c>
      <c r="BE991" s="1061">
        <v>1200</v>
      </c>
      <c r="BF991" s="1061">
        <v>1700</v>
      </c>
      <c r="BG991" s="1061">
        <v>2000</v>
      </c>
      <c r="BH991" s="1061">
        <v>2500</v>
      </c>
      <c r="BI991" s="1061">
        <v>3000</v>
      </c>
      <c r="BJ991" s="1060" t="s">
        <v>1320</v>
      </c>
      <c r="BL991" s="1060" t="s">
        <v>1329</v>
      </c>
      <c r="BN991" s="1182"/>
      <c r="BO991" s="1060" t="s">
        <v>1337</v>
      </c>
      <c r="BW991" s="1181"/>
    </row>
    <row r="992" spans="51:75">
      <c r="AY992" s="1184"/>
      <c r="AZ992" s="1183" t="s">
        <v>916</v>
      </c>
      <c r="BA992" s="1172">
        <v>2</v>
      </c>
      <c r="BB992" s="1152">
        <v>0.83</v>
      </c>
      <c r="BC992" s="1097">
        <v>7.2</v>
      </c>
      <c r="BD992" s="1061">
        <v>700</v>
      </c>
      <c r="BE992" s="1061">
        <v>1200</v>
      </c>
      <c r="BF992" s="1061">
        <v>1700</v>
      </c>
      <c r="BG992" s="1061">
        <v>2000</v>
      </c>
      <c r="BH992" s="1061">
        <v>2500</v>
      </c>
      <c r="BI992" s="1061">
        <v>3000</v>
      </c>
      <c r="BJ992" s="1060" t="s">
        <v>1320</v>
      </c>
      <c r="BL992" s="1060" t="s">
        <v>1329</v>
      </c>
      <c r="BN992" s="1182"/>
      <c r="BO992" s="1060" t="s">
        <v>1336</v>
      </c>
      <c r="BW992" s="1181"/>
    </row>
    <row r="993" spans="51:75">
      <c r="AY993" s="1184"/>
      <c r="AZ993" s="1183" t="s">
        <v>1042</v>
      </c>
      <c r="BA993" s="1172">
        <v>5</v>
      </c>
      <c r="BB993" s="1152">
        <v>1.1000000000000001</v>
      </c>
      <c r="BC993" s="1097">
        <v>7.2</v>
      </c>
      <c r="BD993" s="1061">
        <v>3000</v>
      </c>
      <c r="BE993" s="1061">
        <v>5000</v>
      </c>
      <c r="BF993" s="1061">
        <v>7000</v>
      </c>
      <c r="BG993" s="1061">
        <v>7000</v>
      </c>
      <c r="BH993" s="1061">
        <v>9000</v>
      </c>
      <c r="BI993" s="1061">
        <v>11000</v>
      </c>
      <c r="BJ993" s="1060" t="s">
        <v>1320</v>
      </c>
      <c r="BL993" s="1060" t="s">
        <v>1333</v>
      </c>
      <c r="BN993" s="1182"/>
      <c r="BO993" s="1060" t="s">
        <v>1335</v>
      </c>
      <c r="BW993" s="1181"/>
    </row>
    <row r="994" spans="51:75">
      <c r="AY994" s="1184"/>
      <c r="AZ994" s="1183" t="s">
        <v>1043</v>
      </c>
      <c r="BA994" s="1172">
        <v>5</v>
      </c>
      <c r="BB994" s="1152">
        <v>1.1000000000000001</v>
      </c>
      <c r="BC994" s="1097">
        <v>7.2</v>
      </c>
      <c r="BD994" s="1061">
        <v>3000</v>
      </c>
      <c r="BE994" s="1061">
        <v>5000</v>
      </c>
      <c r="BF994" s="1061">
        <v>7000</v>
      </c>
      <c r="BG994" s="1061">
        <v>7000</v>
      </c>
      <c r="BH994" s="1061">
        <v>9000</v>
      </c>
      <c r="BI994" s="1061">
        <v>11000</v>
      </c>
      <c r="BJ994" s="1060" t="s">
        <v>1320</v>
      </c>
      <c r="BL994" s="1060" t="s">
        <v>1333</v>
      </c>
      <c r="BN994" s="1182"/>
      <c r="BO994" s="1060" t="s">
        <v>1334</v>
      </c>
      <c r="BW994" s="1181"/>
    </row>
    <row r="995" spans="51:75">
      <c r="AY995" s="1184"/>
      <c r="AZ995" s="1183" t="s">
        <v>1044</v>
      </c>
      <c r="BA995" s="1172">
        <v>5</v>
      </c>
      <c r="BB995" s="1152">
        <v>1.1000000000000001</v>
      </c>
      <c r="BC995" s="1097">
        <v>7.2</v>
      </c>
      <c r="BD995" s="1061">
        <v>3000</v>
      </c>
      <c r="BE995" s="1061">
        <v>5000</v>
      </c>
      <c r="BF995" s="1061">
        <v>7000</v>
      </c>
      <c r="BG995" s="1061">
        <v>7000</v>
      </c>
      <c r="BH995" s="1061">
        <v>9000</v>
      </c>
      <c r="BI995" s="1061">
        <v>11000</v>
      </c>
      <c r="BJ995" s="1060" t="s">
        <v>1320</v>
      </c>
      <c r="BL995" s="1060" t="s">
        <v>1333</v>
      </c>
      <c r="BN995" s="1182"/>
      <c r="BO995" s="1060" t="s">
        <v>1332</v>
      </c>
      <c r="BW995" s="1181"/>
    </row>
    <row r="996" spans="51:75">
      <c r="AY996" s="1184"/>
      <c r="AZ996" s="1183" t="s">
        <v>1014</v>
      </c>
      <c r="BA996" s="1172">
        <v>3</v>
      </c>
      <c r="BB996" s="1152">
        <v>1.99</v>
      </c>
      <c r="BC996" s="1097">
        <v>6.1</v>
      </c>
      <c r="BD996" s="1061">
        <v>1000</v>
      </c>
      <c r="BE996" s="1061">
        <v>1500</v>
      </c>
      <c r="BF996" s="1061">
        <v>2000</v>
      </c>
      <c r="BG996" s="1061">
        <v>3000</v>
      </c>
      <c r="BH996" s="1061">
        <v>5000</v>
      </c>
      <c r="BI996" s="1061">
        <v>7000</v>
      </c>
      <c r="BJ996" s="1060" t="s">
        <v>1320</v>
      </c>
      <c r="BL996" s="1060" t="s">
        <v>1329</v>
      </c>
      <c r="BN996" s="1182"/>
      <c r="BO996" s="1060" t="s">
        <v>1331</v>
      </c>
      <c r="BW996" s="1181"/>
    </row>
    <row r="997" spans="51:75">
      <c r="AY997" s="1184"/>
      <c r="AZ997" s="1183" t="s">
        <v>1015</v>
      </c>
      <c r="BA997" s="1172">
        <v>3</v>
      </c>
      <c r="BB997" s="1152">
        <v>1.99</v>
      </c>
      <c r="BC997" s="1097">
        <v>6.1</v>
      </c>
      <c r="BD997" s="1061">
        <v>1000</v>
      </c>
      <c r="BE997" s="1061">
        <v>1500</v>
      </c>
      <c r="BF997" s="1061">
        <v>2000</v>
      </c>
      <c r="BG997" s="1061">
        <v>3000</v>
      </c>
      <c r="BH997" s="1061">
        <v>5000</v>
      </c>
      <c r="BI997" s="1061">
        <v>7000</v>
      </c>
      <c r="BJ997" s="1060" t="s">
        <v>1320</v>
      </c>
      <c r="BL997" s="1060" t="s">
        <v>1329</v>
      </c>
      <c r="BN997" s="1182"/>
      <c r="BO997" s="1060" t="s">
        <v>1330</v>
      </c>
      <c r="BW997" s="1181"/>
    </row>
    <row r="998" spans="51:75">
      <c r="AY998" s="1184"/>
      <c r="AZ998" s="1183" t="s">
        <v>1016</v>
      </c>
      <c r="BA998" s="1172">
        <v>3</v>
      </c>
      <c r="BB998" s="1152">
        <v>1.99</v>
      </c>
      <c r="BC998" s="1097">
        <v>6.1</v>
      </c>
      <c r="BD998" s="1061">
        <v>1000</v>
      </c>
      <c r="BE998" s="1061">
        <v>1500</v>
      </c>
      <c r="BF998" s="1061">
        <v>2000</v>
      </c>
      <c r="BG998" s="1061">
        <v>3000</v>
      </c>
      <c r="BH998" s="1061">
        <v>5000</v>
      </c>
      <c r="BI998" s="1061">
        <v>7000</v>
      </c>
      <c r="BJ998" s="1060" t="s">
        <v>1320</v>
      </c>
      <c r="BL998" s="1060" t="s">
        <v>1329</v>
      </c>
      <c r="BN998" s="1182"/>
      <c r="BO998" s="1060" t="s">
        <v>1328</v>
      </c>
      <c r="BW998" s="1181"/>
    </row>
    <row r="999" spans="51:75">
      <c r="AY999" s="1184"/>
      <c r="AZ999" s="1183" t="s">
        <v>800</v>
      </c>
      <c r="BA999" s="1172">
        <v>1</v>
      </c>
      <c r="BB999" s="1152">
        <v>0.9</v>
      </c>
      <c r="BC999" s="1097">
        <v>7</v>
      </c>
      <c r="BD999" s="1061">
        <v>400</v>
      </c>
      <c r="BE999" s="1061">
        <v>800</v>
      </c>
      <c r="BF999" s="1061">
        <v>1200</v>
      </c>
      <c r="BG999" s="1061">
        <v>1500</v>
      </c>
      <c r="BH999" s="1061">
        <v>2000</v>
      </c>
      <c r="BI999" s="1061">
        <v>2500</v>
      </c>
      <c r="BJ999" s="1060" t="s">
        <v>1320</v>
      </c>
      <c r="BL999" s="1060" t="s">
        <v>1324</v>
      </c>
      <c r="BN999" s="1182"/>
      <c r="BO999" s="1060" t="s">
        <v>1327</v>
      </c>
      <c r="BW999" s="1181"/>
    </row>
    <row r="1000" spans="51:75">
      <c r="AY1000" s="1184"/>
      <c r="AZ1000" s="1183" t="s">
        <v>801</v>
      </c>
      <c r="BA1000" s="1172">
        <v>1</v>
      </c>
      <c r="BB1000" s="1152">
        <v>0.9</v>
      </c>
      <c r="BC1000" s="1097">
        <v>7</v>
      </c>
      <c r="BD1000" s="1061">
        <v>400</v>
      </c>
      <c r="BE1000" s="1061">
        <v>800</v>
      </c>
      <c r="BF1000" s="1061">
        <v>1200</v>
      </c>
      <c r="BG1000" s="1061">
        <v>1500</v>
      </c>
      <c r="BH1000" s="1061">
        <v>2000</v>
      </c>
      <c r="BI1000" s="1061">
        <v>2500</v>
      </c>
      <c r="BJ1000" s="1060" t="s">
        <v>1320</v>
      </c>
      <c r="BL1000" s="1060" t="s">
        <v>1324</v>
      </c>
      <c r="BN1000" s="1182"/>
      <c r="BO1000" s="1060" t="s">
        <v>1326</v>
      </c>
      <c r="BW1000" s="1181"/>
    </row>
    <row r="1001" spans="51:75">
      <c r="AY1001" s="1184"/>
      <c r="AZ1001" s="1183" t="s">
        <v>802</v>
      </c>
      <c r="BA1001" s="1172">
        <v>1</v>
      </c>
      <c r="BB1001" s="1152">
        <v>0.9</v>
      </c>
      <c r="BC1001" s="1097">
        <v>7</v>
      </c>
      <c r="BD1001" s="1061">
        <v>400</v>
      </c>
      <c r="BE1001" s="1061">
        <v>800</v>
      </c>
      <c r="BF1001" s="1061">
        <v>1200</v>
      </c>
      <c r="BG1001" s="1061">
        <v>1500</v>
      </c>
      <c r="BH1001" s="1061">
        <v>2000</v>
      </c>
      <c r="BI1001" s="1061">
        <v>2500</v>
      </c>
      <c r="BJ1001" s="1060" t="s">
        <v>1320</v>
      </c>
      <c r="BL1001" s="1060" t="s">
        <v>1324</v>
      </c>
      <c r="BN1001" s="1182"/>
      <c r="BO1001" s="1060" t="s">
        <v>1325</v>
      </c>
      <c r="BW1001" s="1181"/>
    </row>
    <row r="1002" spans="51:75">
      <c r="AY1002" s="1184"/>
      <c r="AZ1002" s="1183" t="s">
        <v>803</v>
      </c>
      <c r="BA1002" s="1172">
        <v>1</v>
      </c>
      <c r="BB1002" s="1152">
        <v>1.2</v>
      </c>
      <c r="BC1002" s="1097">
        <v>7</v>
      </c>
      <c r="BD1002" s="1061">
        <v>400</v>
      </c>
      <c r="BE1002" s="1061">
        <v>800</v>
      </c>
      <c r="BF1002" s="1061">
        <v>1200</v>
      </c>
      <c r="BG1002" s="1061">
        <v>1500</v>
      </c>
      <c r="BH1002" s="1061">
        <v>2000</v>
      </c>
      <c r="BI1002" s="1061">
        <v>2500</v>
      </c>
      <c r="BJ1002" s="1060" t="s">
        <v>1320</v>
      </c>
      <c r="BL1002" s="1060" t="s">
        <v>1324</v>
      </c>
      <c r="BN1002" s="1182"/>
      <c r="BO1002" s="1060" t="s">
        <v>1323</v>
      </c>
      <c r="BW1002" s="1181"/>
    </row>
    <row r="1003" spans="51:75">
      <c r="AY1003" s="1184"/>
      <c r="AZ1003" s="1183" t="s">
        <v>918</v>
      </c>
      <c r="BA1003" s="1172">
        <v>2</v>
      </c>
      <c r="BB1003" s="1152">
        <v>1.75</v>
      </c>
      <c r="BC1003" s="1097">
        <v>6.3</v>
      </c>
      <c r="BD1003" s="1061">
        <v>700</v>
      </c>
      <c r="BE1003" s="1061">
        <v>1200</v>
      </c>
      <c r="BF1003" s="1061">
        <v>1700</v>
      </c>
      <c r="BG1003" s="1061">
        <v>2000</v>
      </c>
      <c r="BH1003" s="1061">
        <v>2500</v>
      </c>
      <c r="BI1003" s="1061">
        <v>3000</v>
      </c>
      <c r="BJ1003" s="1060" t="s">
        <v>1320</v>
      </c>
      <c r="BL1003" s="1060" t="s">
        <v>1319</v>
      </c>
      <c r="BN1003" s="1182"/>
      <c r="BO1003" s="1060" t="s">
        <v>1322</v>
      </c>
      <c r="BW1003" s="1181"/>
    </row>
    <row r="1004" spans="51:75">
      <c r="AY1004" s="1184"/>
      <c r="AZ1004" s="1183" t="s">
        <v>921</v>
      </c>
      <c r="BA1004" s="1172">
        <v>2</v>
      </c>
      <c r="BB1004" s="1152">
        <v>1.75</v>
      </c>
      <c r="BC1004" s="1097">
        <v>6.3</v>
      </c>
      <c r="BD1004" s="1061">
        <v>700</v>
      </c>
      <c r="BE1004" s="1061">
        <v>1200</v>
      </c>
      <c r="BF1004" s="1061">
        <v>1700</v>
      </c>
      <c r="BG1004" s="1061">
        <v>2000</v>
      </c>
      <c r="BH1004" s="1061">
        <v>2500</v>
      </c>
      <c r="BI1004" s="1061">
        <v>3000</v>
      </c>
      <c r="BJ1004" s="1060" t="s">
        <v>1320</v>
      </c>
      <c r="BL1004" s="1060" t="s">
        <v>1319</v>
      </c>
      <c r="BN1004" s="1182"/>
      <c r="BO1004" s="1060" t="s">
        <v>1321</v>
      </c>
      <c r="BW1004" s="1181"/>
    </row>
    <row r="1005" spans="51:75">
      <c r="AY1005" s="1184"/>
      <c r="AZ1005" s="1183" t="s">
        <v>923</v>
      </c>
      <c r="BA1005" s="1172">
        <v>2</v>
      </c>
      <c r="BB1005" s="1152">
        <v>1.75</v>
      </c>
      <c r="BC1005" s="1097">
        <v>6.3</v>
      </c>
      <c r="BD1005" s="1061">
        <v>700</v>
      </c>
      <c r="BE1005" s="1061">
        <v>1200</v>
      </c>
      <c r="BF1005" s="1061">
        <v>1700</v>
      </c>
      <c r="BG1005" s="1061">
        <v>2000</v>
      </c>
      <c r="BH1005" s="1061">
        <v>2500</v>
      </c>
      <c r="BI1005" s="1061">
        <v>3000</v>
      </c>
      <c r="BJ1005" s="1060" t="s">
        <v>1320</v>
      </c>
      <c r="BL1005" s="1060" t="s">
        <v>1319</v>
      </c>
      <c r="BN1005" s="1182"/>
      <c r="BO1005" s="1060" t="s">
        <v>1318</v>
      </c>
      <c r="BW1005" s="1181"/>
    </row>
    <row r="1006" spans="51:75">
      <c r="AY1006" s="1180"/>
      <c r="AZ1006" s="1176"/>
      <c r="BA1006" s="1179"/>
      <c r="BB1006" s="1178"/>
      <c r="BC1006" s="1177"/>
      <c r="BD1006" s="1176"/>
      <c r="BE1006" s="1176"/>
      <c r="BF1006" s="1176"/>
      <c r="BG1006" s="1176"/>
      <c r="BH1006" s="1176"/>
      <c r="BI1006" s="1176"/>
      <c r="BJ1006" s="1174"/>
      <c r="BK1006" s="1174"/>
      <c r="BL1006" s="1174"/>
      <c r="BM1006" s="1174"/>
      <c r="BN1006" s="1175"/>
      <c r="BO1006" s="1174"/>
      <c r="BP1006" s="1174"/>
      <c r="BQ1006" s="1174"/>
      <c r="BR1006" s="1174"/>
      <c r="BS1006" s="1174"/>
      <c r="BT1006" s="1174"/>
      <c r="BU1006" s="1174"/>
      <c r="BV1006" s="1174"/>
      <c r="BW1006" s="1173"/>
    </row>
  </sheetData>
  <sortState xmlns:xlrd2="http://schemas.microsoft.com/office/spreadsheetml/2017/richdata2" ref="B52:O73">
    <sortCondition ref="B52:B73"/>
  </sortState>
  <dataValidations disablePrompts="1" count="1">
    <dataValidation type="list" allowBlank="1" showInputMessage="1" showErrorMessage="1" sqref="W9 W12" xr:uid="{35BFD535-A5AE-4664-B159-D720668491D3}">
      <formula1>$W$18:$W$19</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ED167-18DE-44FE-BE7C-4606A05D24F8}">
  <sheetPr syncVertical="1" syncRef="D1" transitionEvaluation="1" codeName="Sheet1">
    <tabColor theme="6"/>
    <pageSetUpPr fitToPage="1"/>
  </sheetPr>
  <dimension ref="A1:CI392"/>
  <sheetViews>
    <sheetView topLeftCell="H3" zoomScale="136" zoomScaleNormal="80" workbookViewId="0">
      <selection activeCell="AF14" sqref="AF14"/>
    </sheetView>
  </sheetViews>
  <sheetFormatPr baseColWidth="10" defaultColWidth="9.6640625" defaultRowHeight="17"/>
  <cols>
    <col min="1" max="3" width="9.6640625" style="4" hidden="1" customWidth="1"/>
    <col min="4" max="4" width="2.1640625" style="4" customWidth="1"/>
    <col min="5" max="5" width="5.6640625" style="4" customWidth="1"/>
    <col min="6" max="6" width="5.5" style="4" customWidth="1"/>
    <col min="7" max="7" width="10.5" style="4" customWidth="1"/>
    <col min="8" max="8" width="39.6640625" style="4" customWidth="1"/>
    <col min="9" max="9" width="9.33203125" style="4" customWidth="1"/>
    <col min="10" max="10" width="10.1640625" style="4" customWidth="1"/>
    <col min="11" max="11" width="10.83203125" style="4" customWidth="1"/>
    <col min="12" max="12" width="12.5" style="4" customWidth="1"/>
    <col min="13" max="13" width="13.1640625" style="4" customWidth="1"/>
    <col min="14" max="25" width="10.6640625" style="4" customWidth="1"/>
    <col min="26" max="26" width="2" style="4" customWidth="1"/>
    <col min="27" max="28" width="4.83203125" style="4" customWidth="1"/>
    <col min="29" max="29" width="1.83203125" style="4" customWidth="1"/>
    <col min="30" max="30" width="2.1640625" style="4" customWidth="1"/>
    <col min="31" max="31" width="2.33203125" style="4" customWidth="1"/>
    <col min="32" max="32" width="2.6640625" style="4" customWidth="1"/>
    <col min="33" max="33" width="2.5" style="4" customWidth="1"/>
    <col min="34" max="34" width="2.83203125" style="4" customWidth="1"/>
    <col min="35" max="35" width="3.1640625" style="4" customWidth="1"/>
    <col min="36" max="36" width="1.83203125" style="4" customWidth="1"/>
    <col min="37" max="37" width="3.5" style="4" customWidth="1"/>
    <col min="38" max="38" width="2.1640625" style="4" customWidth="1"/>
    <col min="39" max="39" width="3.83203125" style="4" customWidth="1"/>
    <col min="40" max="40" width="2.1640625" style="4" customWidth="1"/>
    <col min="41" max="41" width="3" style="4" customWidth="1"/>
    <col min="42" max="42" width="2.1640625" style="4" customWidth="1"/>
    <col min="43" max="43" width="2.83203125" style="4" customWidth="1"/>
    <col min="44" max="44" width="2.6640625" style="4" customWidth="1"/>
    <col min="45" max="46" width="1.83203125" style="4" customWidth="1"/>
    <col min="47" max="48" width="1.33203125" style="4" customWidth="1"/>
    <col min="49" max="49" width="15.1640625" style="4" customWidth="1"/>
    <col min="50" max="50" width="10.6640625" style="4" customWidth="1"/>
    <col min="51" max="52" width="9.6640625" style="4"/>
    <col min="53" max="53" width="9.5" style="4" customWidth="1"/>
    <col min="54" max="65" width="9.6640625" style="4"/>
    <col min="66" max="66" width="11.5" style="4" customWidth="1"/>
    <col min="67" max="69" width="9.6640625" style="4"/>
    <col min="70" max="70" width="11.1640625" style="4" customWidth="1"/>
    <col min="71" max="79" width="9.6640625" style="4"/>
    <col min="80" max="80" width="9.6640625" style="79"/>
    <col min="81" max="16384" width="9.6640625" style="4"/>
  </cols>
  <sheetData>
    <row r="1" spans="1:56" ht="95.25" customHeight="1" thickBot="1">
      <c r="F1" s="1906" t="s">
        <v>271</v>
      </c>
      <c r="G1" s="1906"/>
      <c r="H1" s="1906"/>
      <c r="I1" s="1906"/>
      <c r="J1" s="1906"/>
      <c r="K1" s="1906"/>
      <c r="L1" s="1906"/>
      <c r="M1" s="1906"/>
      <c r="N1" s="1906"/>
      <c r="O1" s="1906"/>
      <c r="P1" s="1906"/>
      <c r="Q1" s="1906"/>
      <c r="R1" s="1906"/>
      <c r="S1" s="1906"/>
      <c r="T1" s="1906"/>
      <c r="U1" s="1906"/>
      <c r="V1" s="1906"/>
      <c r="W1" s="1906"/>
      <c r="X1" s="1906"/>
      <c r="Y1" s="1906"/>
      <c r="Z1" s="1906"/>
    </row>
    <row r="2" spans="1:56" ht="36" customHeight="1" thickBot="1">
      <c r="D2" s="110"/>
      <c r="E2" s="318"/>
      <c r="F2" s="1910"/>
      <c r="G2" s="1910"/>
      <c r="H2" s="1910"/>
      <c r="I2" s="432"/>
      <c r="J2" s="1907" t="s">
        <v>273</v>
      </c>
      <c r="K2" s="1907"/>
      <c r="L2" s="1907"/>
      <c r="M2" s="1907"/>
      <c r="N2" s="1907"/>
      <c r="O2" s="1907"/>
      <c r="P2" s="1907"/>
      <c r="Q2" s="1907"/>
      <c r="R2" s="1907"/>
      <c r="S2" s="432"/>
      <c r="T2" s="433"/>
      <c r="U2" s="432"/>
      <c r="V2" s="432"/>
      <c r="W2" s="432"/>
      <c r="X2" s="432"/>
      <c r="Y2" s="432"/>
      <c r="Z2" s="336"/>
      <c r="AH2" s="15"/>
      <c r="AU2" s="18"/>
      <c r="AV2" s="18"/>
      <c r="AW2" s="1673" t="s">
        <v>3133</v>
      </c>
      <c r="AX2" s="1673" t="s">
        <v>2798</v>
      </c>
      <c r="AY2" s="19"/>
    </row>
    <row r="3" spans="1:56" ht="125" customHeight="1" thickBot="1">
      <c r="D3" s="110"/>
      <c r="E3" s="431"/>
      <c r="F3" s="1923" t="s">
        <v>3128</v>
      </c>
      <c r="G3" s="1923"/>
      <c r="H3" s="1923"/>
      <c r="I3" s="1923"/>
      <c r="J3" s="1923"/>
      <c r="K3" s="1923"/>
      <c r="L3" s="1923"/>
      <c r="M3" s="1923"/>
      <c r="N3" s="1923"/>
      <c r="O3" s="1923"/>
      <c r="P3" s="1923"/>
      <c r="Q3" s="1923"/>
      <c r="R3" s="1923"/>
      <c r="S3" s="1923"/>
      <c r="T3" s="1923"/>
      <c r="U3" s="1923"/>
      <c r="V3" s="1923"/>
      <c r="W3" s="1923"/>
      <c r="X3" s="1923"/>
      <c r="Y3" s="1924"/>
      <c r="Z3" s="334"/>
      <c r="AH3" s="15"/>
      <c r="AU3" s="18"/>
      <c r="AV3" s="18"/>
      <c r="AW3" s="1408"/>
      <c r="AX3" s="1408" t="s">
        <v>3134</v>
      </c>
      <c r="AY3" s="19"/>
    </row>
    <row r="4" spans="1:56" ht="18" thickBot="1">
      <c r="D4" s="110"/>
      <c r="E4" s="319"/>
      <c r="F4" s="320"/>
      <c r="G4" s="320"/>
      <c r="H4" s="320"/>
      <c r="I4" s="320"/>
      <c r="J4" s="320"/>
      <c r="K4" s="320"/>
      <c r="L4" s="320"/>
      <c r="M4" s="320"/>
      <c r="N4" s="320"/>
      <c r="O4" s="320"/>
      <c r="P4" s="320"/>
      <c r="Q4" s="320"/>
      <c r="R4" s="320"/>
      <c r="S4" s="320"/>
      <c r="T4" s="320"/>
      <c r="U4" s="320"/>
      <c r="V4" s="320"/>
      <c r="W4" s="320"/>
      <c r="X4" s="320"/>
      <c r="Y4" s="320"/>
      <c r="Z4" s="334"/>
      <c r="AD4" s="5"/>
      <c r="AF4" s="80"/>
      <c r="AM4" s="5"/>
      <c r="AO4" s="80"/>
      <c r="AU4" s="18"/>
      <c r="AV4" s="18"/>
      <c r="AW4" s="1408" t="s">
        <v>3135</v>
      </c>
      <c r="AX4" s="1674">
        <v>0.03</v>
      </c>
      <c r="AY4" s="19" t="s">
        <v>2650</v>
      </c>
    </row>
    <row r="5" spans="1:56">
      <c r="D5" s="110"/>
      <c r="E5" s="341"/>
      <c r="F5" s="320"/>
      <c r="G5" s="320"/>
      <c r="H5" s="479" t="s">
        <v>272</v>
      </c>
      <c r="I5" s="320"/>
      <c r="J5" s="1916" t="s">
        <v>267</v>
      </c>
      <c r="K5" s="1917"/>
      <c r="L5" s="1917"/>
      <c r="M5" s="1917"/>
      <c r="N5" s="1917"/>
      <c r="O5" s="1917"/>
      <c r="P5" s="1917"/>
      <c r="Q5" s="1917"/>
      <c r="R5" s="1918"/>
      <c r="S5" s="322"/>
      <c r="T5" s="335" t="s">
        <v>443</v>
      </c>
      <c r="U5" s="320"/>
      <c r="V5" s="320"/>
      <c r="W5" s="320"/>
      <c r="X5" s="320"/>
      <c r="Y5" s="320"/>
      <c r="Z5" s="334"/>
      <c r="AD5" s="5"/>
      <c r="AF5" s="80"/>
      <c r="AM5" s="5"/>
      <c r="AO5" s="81"/>
      <c r="AU5" s="18"/>
      <c r="AV5" s="18"/>
      <c r="AW5" s="1675" t="s">
        <v>3136</v>
      </c>
      <c r="AX5" s="1676">
        <v>3.5000000000000003E-2</v>
      </c>
      <c r="AY5" s="19"/>
    </row>
    <row r="6" spans="1:56">
      <c r="D6" s="110"/>
      <c r="E6" s="319"/>
      <c r="F6" s="320"/>
      <c r="G6" s="321" t="s">
        <v>23</v>
      </c>
      <c r="H6" s="849"/>
      <c r="I6" s="320"/>
      <c r="J6" s="16"/>
      <c r="N6" s="20"/>
      <c r="O6" s="20"/>
      <c r="P6" s="20"/>
      <c r="R6" s="91"/>
      <c r="S6" s="320"/>
      <c r="T6" s="1931"/>
      <c r="U6" s="1932"/>
      <c r="V6" s="1932"/>
      <c r="W6" s="1932"/>
      <c r="X6" s="1932"/>
      <c r="Y6" s="1933"/>
      <c r="Z6" s="334"/>
      <c r="AC6" s="21"/>
      <c r="AD6" s="20"/>
      <c r="AE6" s="20"/>
      <c r="AF6" s="20"/>
      <c r="AG6" s="20"/>
      <c r="AH6" s="20"/>
      <c r="AI6" s="20"/>
      <c r="AJ6" s="20"/>
      <c r="AK6" s="20"/>
      <c r="AL6" s="20"/>
      <c r="AM6" s="20"/>
      <c r="AN6" s="20"/>
      <c r="AO6" s="20"/>
      <c r="AP6" s="20"/>
      <c r="AQ6" s="20"/>
      <c r="AS6" s="20"/>
      <c r="AV6" s="18"/>
      <c r="AW6" s="1675" t="s">
        <v>3137</v>
      </c>
      <c r="AX6" s="1676">
        <v>2.5000000000000001E-2</v>
      </c>
      <c r="AY6" s="19"/>
    </row>
    <row r="7" spans="1:56">
      <c r="D7" s="110"/>
      <c r="E7" s="319"/>
      <c r="F7" s="320"/>
      <c r="G7" s="321" t="s">
        <v>24</v>
      </c>
      <c r="H7" s="1036"/>
      <c r="I7" s="879"/>
      <c r="J7" s="880"/>
      <c r="N7" s="20"/>
      <c r="O7" s="20"/>
      <c r="P7" s="20"/>
      <c r="R7" s="91"/>
      <c r="S7" s="332"/>
      <c r="T7" s="1934"/>
      <c r="U7" s="1935"/>
      <c r="V7" s="1935"/>
      <c r="W7" s="1935"/>
      <c r="X7" s="1935"/>
      <c r="Y7" s="1936"/>
      <c r="Z7" s="334"/>
      <c r="AC7" s="5"/>
      <c r="AG7" s="82"/>
      <c r="AI7" s="5"/>
      <c r="AM7" s="5"/>
      <c r="AO7" s="83"/>
      <c r="AQ7" s="5"/>
      <c r="AV7" s="18"/>
      <c r="AW7" s="1675" t="s">
        <v>3138</v>
      </c>
      <c r="AX7" s="1676">
        <v>0.03</v>
      </c>
      <c r="AY7" s="19"/>
    </row>
    <row r="8" spans="1:56">
      <c r="D8" s="110"/>
      <c r="E8" s="319"/>
      <c r="F8" s="320"/>
      <c r="G8" s="321" t="s">
        <v>27</v>
      </c>
      <c r="H8" s="850"/>
      <c r="I8" s="320"/>
      <c r="J8" s="16"/>
      <c r="N8" s="20"/>
      <c r="O8" s="20"/>
      <c r="P8" s="20"/>
      <c r="R8" s="91"/>
      <c r="S8" s="332"/>
      <c r="T8" s="1934"/>
      <c r="U8" s="1935"/>
      <c r="V8" s="1935"/>
      <c r="W8" s="1935"/>
      <c r="X8" s="1935"/>
      <c r="Y8" s="1936"/>
      <c r="Z8" s="334"/>
      <c r="AC8" s="5"/>
      <c r="AG8" s="82"/>
      <c r="AI8" s="5"/>
      <c r="AM8" s="5"/>
      <c r="AO8" s="83"/>
      <c r="AV8" s="18"/>
      <c r="AW8" s="1675" t="s">
        <v>3139</v>
      </c>
      <c r="AX8" s="1676">
        <v>0.03</v>
      </c>
      <c r="AY8" s="19"/>
    </row>
    <row r="9" spans="1:56">
      <c r="D9" s="110"/>
      <c r="E9" s="319"/>
      <c r="F9" s="320"/>
      <c r="G9" s="321" t="s">
        <v>687</v>
      </c>
      <c r="H9" s="850"/>
      <c r="I9" s="320"/>
      <c r="J9" s="16"/>
      <c r="N9" s="20"/>
      <c r="O9" s="20"/>
      <c r="P9" s="20"/>
      <c r="Q9" s="5"/>
      <c r="R9" s="91"/>
      <c r="S9" s="332"/>
      <c r="T9" s="1934"/>
      <c r="U9" s="1935"/>
      <c r="V9" s="1935"/>
      <c r="W9" s="1935"/>
      <c r="X9" s="1935"/>
      <c r="Y9" s="1936"/>
      <c r="Z9" s="334"/>
      <c r="AC9" s="5"/>
      <c r="AG9" s="84"/>
      <c r="AI9" s="5"/>
      <c r="AM9" s="5"/>
      <c r="AO9" s="82"/>
      <c r="AV9" s="18"/>
      <c r="AW9" s="1675" t="s">
        <v>3140</v>
      </c>
      <c r="AX9" s="1676">
        <v>3.7499999999999999E-2</v>
      </c>
      <c r="AY9" s="19"/>
    </row>
    <row r="10" spans="1:56" ht="18" thickBot="1">
      <c r="D10" s="110"/>
      <c r="E10" s="319"/>
      <c r="F10" s="320"/>
      <c r="G10" s="321" t="s">
        <v>263</v>
      </c>
      <c r="H10" s="849"/>
      <c r="I10" s="320"/>
      <c r="J10" s="881"/>
      <c r="K10" s="314"/>
      <c r="L10" s="314"/>
      <c r="M10" s="314"/>
      <c r="N10" s="92"/>
      <c r="O10" s="92"/>
      <c r="P10" s="92"/>
      <c r="Q10" s="93"/>
      <c r="R10" s="94"/>
      <c r="S10" s="332"/>
      <c r="T10" s="1937"/>
      <c r="U10" s="1938"/>
      <c r="V10" s="1938"/>
      <c r="W10" s="1938"/>
      <c r="X10" s="1938"/>
      <c r="Y10" s="1939"/>
      <c r="Z10" s="334"/>
      <c r="AC10" s="5"/>
      <c r="AG10" s="84"/>
      <c r="AI10" s="5"/>
      <c r="AM10" s="5"/>
      <c r="AO10" s="82"/>
      <c r="AV10" s="18"/>
      <c r="AW10" s="1408" t="s">
        <v>3141</v>
      </c>
      <c r="AX10" s="1677">
        <v>3.5000000000000003E-2</v>
      </c>
      <c r="AY10" s="19"/>
    </row>
    <row r="11" spans="1:56">
      <c r="D11" s="110"/>
      <c r="E11" s="319"/>
      <c r="F11" s="320"/>
      <c r="G11" s="320"/>
      <c r="H11" s="320"/>
      <c r="I11" s="320"/>
      <c r="J11" s="320"/>
      <c r="K11" s="320"/>
      <c r="L11" s="320"/>
      <c r="M11" s="320"/>
      <c r="N11" s="332"/>
      <c r="O11" s="332"/>
      <c r="P11" s="332"/>
      <c r="Q11" s="333"/>
      <c r="R11" s="332"/>
      <c r="S11" s="332"/>
      <c r="T11" s="332"/>
      <c r="U11" s="332"/>
      <c r="V11" s="332"/>
      <c r="W11" s="332"/>
      <c r="X11" s="332"/>
      <c r="Y11" s="332"/>
      <c r="Z11" s="334"/>
      <c r="AC11" s="5"/>
      <c r="AG11" s="84"/>
      <c r="AI11" s="5"/>
      <c r="AM11" s="5"/>
      <c r="AO11" s="82"/>
      <c r="AV11" s="18"/>
      <c r="AW11" s="1675" t="s">
        <v>3142</v>
      </c>
      <c r="AX11" s="1676">
        <v>0.04</v>
      </c>
      <c r="AY11" s="19"/>
    </row>
    <row r="12" spans="1:56" ht="24.75" customHeight="1">
      <c r="D12" s="110"/>
      <c r="E12" s="319"/>
      <c r="F12" s="322"/>
      <c r="G12" s="320"/>
      <c r="H12" s="104"/>
      <c r="I12" s="105" t="s">
        <v>30</v>
      </c>
      <c r="J12" s="105" t="s">
        <v>123</v>
      </c>
      <c r="K12" s="105" t="s">
        <v>31</v>
      </c>
      <c r="L12" s="1929"/>
      <c r="M12" s="1930"/>
      <c r="N12" s="1940" t="s">
        <v>274</v>
      </c>
      <c r="O12" s="1940"/>
      <c r="P12" s="1940"/>
      <c r="Q12" s="1940"/>
      <c r="R12" s="1940"/>
      <c r="S12" s="1940"/>
      <c r="T12" s="1940"/>
      <c r="U12" s="1940"/>
      <c r="V12" s="1940"/>
      <c r="W12" s="1940"/>
      <c r="X12" s="1940"/>
      <c r="Y12" s="1941"/>
      <c r="Z12" s="334"/>
      <c r="AA12" s="20"/>
      <c r="AB12" s="20"/>
      <c r="AC12" s="20"/>
      <c r="AD12" s="20"/>
      <c r="AE12" s="20"/>
      <c r="AF12" s="20"/>
      <c r="AG12" s="20"/>
      <c r="AH12" s="20"/>
      <c r="AI12" s="20"/>
      <c r="AJ12" s="20"/>
      <c r="AK12" s="20"/>
      <c r="AL12" s="20"/>
      <c r="AM12" s="20"/>
      <c r="AN12" s="20"/>
      <c r="AO12" s="20"/>
      <c r="AP12" s="20"/>
      <c r="AQ12" s="20"/>
      <c r="AR12" s="20"/>
      <c r="AS12" s="20"/>
      <c r="AT12" s="20"/>
      <c r="AV12" s="18"/>
      <c r="BC12" s="1678"/>
      <c r="BD12" s="1678"/>
    </row>
    <row r="13" spans="1:56">
      <c r="A13" s="44"/>
      <c r="B13" s="44"/>
      <c r="C13" s="44"/>
      <c r="D13" s="109"/>
      <c r="E13" s="319"/>
      <c r="F13" s="320"/>
      <c r="G13" s="320"/>
      <c r="H13" s="106" t="s">
        <v>220</v>
      </c>
      <c r="I13" s="107" t="s">
        <v>36</v>
      </c>
      <c r="J13" s="107" t="s">
        <v>118</v>
      </c>
      <c r="K13" s="107" t="s">
        <v>37</v>
      </c>
      <c r="L13" s="107" t="s">
        <v>114</v>
      </c>
      <c r="M13" s="172" t="s">
        <v>113</v>
      </c>
      <c r="N13" s="108" t="s">
        <v>276</v>
      </c>
      <c r="O13" s="108" t="s">
        <v>277</v>
      </c>
      <c r="P13" s="108" t="s">
        <v>88</v>
      </c>
      <c r="Q13" s="107" t="s">
        <v>89</v>
      </c>
      <c r="R13" s="107" t="s">
        <v>39</v>
      </c>
      <c r="S13" s="107" t="s">
        <v>40</v>
      </c>
      <c r="T13" s="107" t="s">
        <v>41</v>
      </c>
      <c r="U13" s="107" t="s">
        <v>92</v>
      </c>
      <c r="V13" s="107" t="s">
        <v>275</v>
      </c>
      <c r="W13" s="107" t="s">
        <v>94</v>
      </c>
      <c r="X13" s="107" t="s">
        <v>95</v>
      </c>
      <c r="Y13" s="107" t="s">
        <v>96</v>
      </c>
      <c r="Z13" s="334"/>
      <c r="AA13" s="6"/>
      <c r="AB13" s="5"/>
      <c r="AC13" s="6"/>
      <c r="AD13" s="5"/>
      <c r="AE13" s="6"/>
      <c r="AF13" s="5"/>
      <c r="AG13" s="6"/>
      <c r="AH13" s="5"/>
      <c r="AI13" s="6"/>
      <c r="AJ13" s="5"/>
      <c r="AL13" s="5"/>
      <c r="AM13" s="6"/>
      <c r="AN13" s="5"/>
      <c r="AO13" s="6"/>
      <c r="AP13" s="5"/>
      <c r="AQ13" s="6"/>
      <c r="AR13" s="5"/>
      <c r="AS13" s="6"/>
      <c r="AT13" s="5"/>
      <c r="AV13" s="18"/>
    </row>
    <row r="14" spans="1:56">
      <c r="A14" s="44"/>
      <c r="B14" s="44"/>
      <c r="C14" s="44"/>
      <c r="D14" s="111"/>
      <c r="E14" s="323"/>
      <c r="F14" s="320"/>
      <c r="G14" s="320"/>
      <c r="H14" s="101"/>
      <c r="I14" s="102"/>
      <c r="J14" s="102"/>
      <c r="K14" s="102"/>
      <c r="L14" s="102"/>
      <c r="M14" s="173"/>
      <c r="N14" s="912"/>
      <c r="O14" s="912"/>
      <c r="P14" s="912"/>
      <c r="Q14" s="912"/>
      <c r="R14" s="912"/>
      <c r="S14" s="102"/>
      <c r="T14" s="102"/>
      <c r="U14" s="102"/>
      <c r="V14" s="102"/>
      <c r="W14" s="102"/>
      <c r="X14" s="102"/>
      <c r="Y14" s="103"/>
      <c r="Z14" s="334"/>
      <c r="AA14" s="6"/>
      <c r="AB14" s="5"/>
      <c r="AD14" s="5"/>
      <c r="AE14" s="6"/>
      <c r="AF14" s="5"/>
      <c r="AG14" s="6"/>
      <c r="AH14" s="5"/>
      <c r="AI14" s="6"/>
      <c r="AJ14" s="5"/>
      <c r="AK14" s="6"/>
      <c r="AL14" s="5"/>
      <c r="AM14" s="6"/>
      <c r="AN14" s="5"/>
      <c r="AO14" s="6"/>
      <c r="AP14" s="5"/>
      <c r="AQ14" s="6"/>
      <c r="AR14" s="5"/>
      <c r="AS14" s="6"/>
      <c r="AT14" s="5"/>
      <c r="AV14" s="18"/>
    </row>
    <row r="15" spans="1:56" ht="20" hidden="1" customHeight="1">
      <c r="A15" s="44"/>
      <c r="B15" s="44"/>
      <c r="C15" s="44"/>
      <c r="D15" s="111"/>
      <c r="E15" s="323"/>
      <c r="F15" s="320"/>
      <c r="G15" s="320"/>
      <c r="H15" s="856" t="s">
        <v>264</v>
      </c>
      <c r="I15" s="194"/>
      <c r="J15" s="195"/>
      <c r="K15" s="860"/>
      <c r="L15" s="192">
        <f>I15*J15*K15/100</f>
        <v>0</v>
      </c>
      <c r="M15" s="861">
        <f>SUM(N15:Y15)</f>
        <v>0</v>
      </c>
      <c r="N15" s="862">
        <f>$L15*31*Calculations!$B$8</f>
        <v>0</v>
      </c>
      <c r="O15" s="192">
        <f>$L15*28*Calculations!$C$8</f>
        <v>0</v>
      </c>
      <c r="P15" s="192">
        <f>$L15*31*Calculations!$D$8</f>
        <v>0</v>
      </c>
      <c r="Q15" s="192">
        <f>$L15*30*Calculations!$E$8</f>
        <v>0</v>
      </c>
      <c r="R15" s="192">
        <f>$L15*31*Calculations!$F$8</f>
        <v>0</v>
      </c>
      <c r="S15" s="192">
        <f>$L15*30*Calculations!$G$8</f>
        <v>0</v>
      </c>
      <c r="T15" s="192">
        <f>$L15*31*Calculations!$H$8</f>
        <v>0</v>
      </c>
      <c r="U15" s="192">
        <f>$L15*31*Calculations!$I$8</f>
        <v>0</v>
      </c>
      <c r="V15" s="192">
        <f>$L15*30*Calculations!$J$8</f>
        <v>0</v>
      </c>
      <c r="W15" s="192">
        <f>$L15*31*Calculations!$K$8</f>
        <v>0</v>
      </c>
      <c r="X15" s="192">
        <f>$L15*30*Calculations!$L$8</f>
        <v>0</v>
      </c>
      <c r="Y15" s="192">
        <f>$L15*31*Calculations!$M$8</f>
        <v>0</v>
      </c>
      <c r="Z15" s="334"/>
      <c r="AB15" s="5"/>
      <c r="AD15" s="5"/>
      <c r="AF15" s="5"/>
      <c r="AG15" s="6"/>
      <c r="AH15" s="5"/>
      <c r="AI15" s="6"/>
      <c r="AJ15" s="5"/>
      <c r="AK15" s="6"/>
      <c r="AL15" s="5"/>
      <c r="AM15" s="6"/>
      <c r="AN15" s="5"/>
      <c r="AO15" s="6"/>
      <c r="AP15" s="5"/>
      <c r="AQ15" s="7"/>
      <c r="AR15" s="5"/>
      <c r="AS15" s="6"/>
      <c r="AT15" s="5"/>
      <c r="AV15" s="18"/>
    </row>
    <row r="16" spans="1:56" ht="15" hidden="1" customHeight="1">
      <c r="A16" s="44"/>
      <c r="B16" s="44"/>
      <c r="C16" s="44"/>
      <c r="D16" s="112"/>
      <c r="E16" s="324"/>
      <c r="F16" s="325"/>
      <c r="G16" s="320"/>
      <c r="H16" s="1970" t="str">
        <f>IF(Calculations!B71=TRUE, "Selected Management = Grazing System all Year",IF(Calculations!B72=TRUE,"Selected Management = Alternative Pasture from:",IF(Calculations!B73=TRUE,"Selected Management = Dry Lot from:")))</f>
        <v>Selected Management = Grazing System all Year</v>
      </c>
      <c r="I16" s="1971"/>
      <c r="J16" s="547" t="str">
        <f>IF(OR(Calculations!B72=TRUE,Calculations!B73=TRUE),IF(Calculations!B87=1,"Jan -",IF(Calculations!B87=2,"Feb -",IF(Calculations!B87=3,"Mar -",IF(Calculations!B87=4,"Apr -",IF(Calculations!B87=5,"May -",IF(Calculations!B87=6,"Jun -",IF(Calculations!B87=7,"Jul -",IF(Calculations!B87=8,"Aug -",IF(Calculations!B87=9,"Sep -",IF(Calculations!B87=10,"Oct -",IF(Calculations!B87=11,"Nov -",IF(Calculations!B87=12,"Dec -")))))))))))),"")</f>
        <v/>
      </c>
      <c r="K16" s="945" t="str">
        <f>IF(OR(Calculations!B72=TRUE,Calculations!B73=TRUE),IF(Calculations!B88=1,"Jan",IF(Calculations!B88=2,"Feb",IF(Calculations!B88=3,"Mar",IF(Calculations!B88=4,"Apr",IF(Calculations!B88=5,"May",IF(Calculations!B88=6,"Jun",IF(Calculations!B88=7,"Jul",IF(Calculations!B88=8,"Aug",IF(Calculations!B88=9,"Sep",IF(Calculations!B88=10,"Oct",IF(Calculations!B88=11,"Nov",IF(Calculations!B88=12,"Dec")))))))))))),"")</f>
        <v/>
      </c>
      <c r="L16" s="546"/>
      <c r="M16" s="464"/>
      <c r="N16" s="464"/>
      <c r="O16" s="464"/>
      <c r="P16" s="464"/>
      <c r="Q16" s="464"/>
      <c r="R16" s="464"/>
      <c r="S16" s="464"/>
      <c r="T16" s="464"/>
      <c r="U16" s="464"/>
      <c r="V16" s="464"/>
      <c r="W16" s="464"/>
      <c r="X16" s="464"/>
      <c r="Y16" s="465"/>
      <c r="Z16" s="334"/>
      <c r="AB16" s="5"/>
      <c r="AD16" s="5"/>
      <c r="AF16" s="5"/>
      <c r="AH16" s="5"/>
      <c r="AI16" s="7"/>
      <c r="AJ16" s="5"/>
      <c r="AL16" s="5"/>
      <c r="AM16" s="6"/>
      <c r="AN16" s="5"/>
      <c r="AO16" s="6"/>
      <c r="AP16" s="5"/>
      <c r="AR16" s="5"/>
      <c r="AS16" s="6"/>
      <c r="AT16" s="5"/>
      <c r="AV16" s="18"/>
    </row>
    <row r="17" spans="1:65" ht="20" hidden="1" customHeight="1">
      <c r="A17" s="44"/>
      <c r="B17" s="44"/>
      <c r="C17" s="44"/>
      <c r="D17" s="109"/>
      <c r="E17" s="319"/>
      <c r="F17" s="320"/>
      <c r="G17" s="320"/>
      <c r="H17" s="856" t="s">
        <v>265</v>
      </c>
      <c r="I17" s="194"/>
      <c r="J17" s="195"/>
      <c r="K17" s="860"/>
      <c r="L17" s="192">
        <f>I17*J17*K17/100</f>
        <v>0</v>
      </c>
      <c r="M17" s="861">
        <f>SUM(N17:Y17)</f>
        <v>0</v>
      </c>
      <c r="N17" s="862">
        <f>$L17*31*Calculations!$B$10</f>
        <v>0</v>
      </c>
      <c r="O17" s="192">
        <f>$L17*31*Calculations!$C$10</f>
        <v>0</v>
      </c>
      <c r="P17" s="192">
        <f>$L17*30*Calculations!$D$10</f>
        <v>0</v>
      </c>
      <c r="Q17" s="192">
        <f>$L17*31*Calculations!$E$10</f>
        <v>0</v>
      </c>
      <c r="R17" s="192">
        <f>$L17*31*Calculations!$F$10</f>
        <v>0</v>
      </c>
      <c r="S17" s="192">
        <f>$L17*30*Calculations!$G$10</f>
        <v>0</v>
      </c>
      <c r="T17" s="192">
        <f>$L17*31*Calculations!$H$10</f>
        <v>0</v>
      </c>
      <c r="U17" s="192">
        <f>$L17*31*Calculations!$I$10</f>
        <v>0</v>
      </c>
      <c r="V17" s="192">
        <f>$L17*30*Calculations!$J$10</f>
        <v>0</v>
      </c>
      <c r="W17" s="192">
        <f>$L17*31*Calculations!$K$10</f>
        <v>0</v>
      </c>
      <c r="X17" s="192">
        <f>$L17*30*Calculations!$L$10</f>
        <v>0</v>
      </c>
      <c r="Y17" s="192">
        <f>$L17*31*Calculations!$M$10</f>
        <v>0</v>
      </c>
      <c r="Z17" s="334"/>
      <c r="AA17" s="20"/>
      <c r="AB17" s="5"/>
      <c r="AC17" s="20"/>
      <c r="AD17" s="5"/>
      <c r="AE17" s="20"/>
      <c r="AF17" s="5"/>
      <c r="AG17" s="20"/>
      <c r="AH17" s="5"/>
      <c r="AI17" s="20"/>
      <c r="AJ17" s="5"/>
      <c r="AK17" s="20"/>
      <c r="AL17" s="5"/>
      <c r="AM17" s="20"/>
      <c r="AN17" s="5"/>
      <c r="AO17" s="20"/>
      <c r="AP17" s="5"/>
      <c r="AQ17" s="20"/>
      <c r="AR17" s="5"/>
      <c r="AS17" s="20"/>
      <c r="AT17" s="5"/>
      <c r="AV17" s="18"/>
    </row>
    <row r="18" spans="1:65" ht="15" hidden="1" customHeight="1">
      <c r="A18" s="44"/>
      <c r="B18" s="45"/>
      <c r="C18" s="45"/>
      <c r="D18" s="109"/>
      <c r="E18" s="319"/>
      <c r="F18" s="320"/>
      <c r="G18" s="320"/>
      <c r="H18" s="1970" t="str">
        <f>IF(Calculations!B76=TRUE, "Selected Management = Grazing System all Year",IF(Calculations!B77=TRUE,"Selected Management = Alternative Pasture from:",IF(Calculations!B78=TRUE,"Selected Management = Dry Lot from:")))</f>
        <v>Selected Management = Grazing System all Year</v>
      </c>
      <c r="I18" s="1971"/>
      <c r="J18" s="547" t="str">
        <f>IF(OR(Calculations!B77=TRUE,Calculations!B78=TRUE),IF(Calculations!B91=1,"Jan -",IF(Calculations!B91=2,"Feb -",IF(Calculations!B91=3,"Mar -",IF(Calculations!B91=4,"Apr -",IF(Calculations!B91=5,"May -",IF(Calculations!B91=6,"Jun -",IF(Calculations!B91=7,"Jul -",IF(Calculations!B91=8,"Aug -",IF(Calculations!B91=9,"Sep -",IF(Calculations!B91=10,"Oct -",IF(Calculations!B91=11,"Nov -",IF(Calculations!B91=12,"Dec -")))))))))))),"")</f>
        <v/>
      </c>
      <c r="K18" s="945" t="str">
        <f>IF(OR(Calculations!B77=TRUE,Calculations!B78=TRUE),IF(Calculations!B92=1,"Jan",IF(Calculations!B92=2,"Feb",IF(Calculations!B92=3,"Mar",IF(Calculations!B92=4,"Apr",IF(Calculations!B92=5,"May",IF(Calculations!B92=6,"Jun",IF(Calculations!B92=7,"Jul",IF(Calculations!B92=8,"Aug",IF(Calculations!B92=9,"Sep",IF(Calculations!B92=10,"Oct",IF(Calculations!B92=11,"Nov",IF(Calculations!B92=12,"Dec")))))))))))),"")</f>
        <v/>
      </c>
      <c r="L18" s="546"/>
      <c r="M18" s="464"/>
      <c r="N18" s="464"/>
      <c r="O18" s="464"/>
      <c r="P18" s="464"/>
      <c r="Q18" s="464"/>
      <c r="R18" s="464"/>
      <c r="S18" s="464"/>
      <c r="T18" s="464"/>
      <c r="U18" s="464"/>
      <c r="V18" s="464"/>
      <c r="W18" s="464"/>
      <c r="X18" s="464"/>
      <c r="Y18" s="465"/>
      <c r="Z18" s="334"/>
      <c r="AA18" s="6"/>
      <c r="AB18" s="5"/>
      <c r="AC18" s="5"/>
      <c r="AD18" s="5"/>
      <c r="AE18" s="85"/>
      <c r="AF18" s="5"/>
      <c r="AG18" s="86"/>
      <c r="AH18" s="5"/>
      <c r="AI18" s="3"/>
      <c r="AJ18" s="5"/>
      <c r="AK18" s="24"/>
      <c r="AL18" s="5"/>
      <c r="AM18" s="8"/>
      <c r="AN18" s="5"/>
      <c r="AO18" s="8"/>
      <c r="AP18" s="5"/>
      <c r="AQ18" s="3"/>
      <c r="AR18" s="5"/>
      <c r="AS18" s="6"/>
      <c r="AT18" s="5"/>
      <c r="AV18" s="18"/>
    </row>
    <row r="19" spans="1:65" ht="20" hidden="1" customHeight="1">
      <c r="A19" s="44"/>
      <c r="B19" s="45"/>
      <c r="C19" s="45"/>
      <c r="D19" s="111"/>
      <c r="E19" s="323"/>
      <c r="F19" s="320"/>
      <c r="G19" s="320"/>
      <c r="H19" s="856" t="s">
        <v>266</v>
      </c>
      <c r="I19" s="194"/>
      <c r="J19" s="195"/>
      <c r="K19" s="860"/>
      <c r="L19" s="192">
        <f>I19*J19*K19/100</f>
        <v>0</v>
      </c>
      <c r="M19" s="861">
        <f>SUM(N19:Y19)</f>
        <v>0</v>
      </c>
      <c r="N19" s="862">
        <f>$L19*31*Calculations!$B$12</f>
        <v>0</v>
      </c>
      <c r="O19" s="192">
        <f>$L19*31*Calculations!$C$12</f>
        <v>0</v>
      </c>
      <c r="P19" s="192">
        <f>$L19*30*Calculations!$D$12</f>
        <v>0</v>
      </c>
      <c r="Q19" s="192">
        <f>$L19*31*Calculations!$E$12</f>
        <v>0</v>
      </c>
      <c r="R19" s="192">
        <f>$L19*31*Calculations!$F$12</f>
        <v>0</v>
      </c>
      <c r="S19" s="192">
        <f>$L19*30*Calculations!$G$12</f>
        <v>0</v>
      </c>
      <c r="T19" s="192">
        <f>$L19*31*Calculations!$H$12</f>
        <v>0</v>
      </c>
      <c r="U19" s="192">
        <f>$L19*31*Calculations!$I$12</f>
        <v>0</v>
      </c>
      <c r="V19" s="192">
        <f>$L19*30*Calculations!$J$12</f>
        <v>0</v>
      </c>
      <c r="W19" s="192">
        <f>$L19*31*Calculations!$K$12</f>
        <v>0</v>
      </c>
      <c r="X19" s="192">
        <f>$L19*30*Calculations!$L$12</f>
        <v>0</v>
      </c>
      <c r="Y19" s="192">
        <f>$L19*31*Calculations!$M$12</f>
        <v>0</v>
      </c>
      <c r="Z19" s="334"/>
      <c r="AA19" s="6"/>
      <c r="AB19" s="5"/>
      <c r="AC19" s="5"/>
      <c r="AD19" s="5"/>
      <c r="AE19" s="85"/>
      <c r="AF19" s="5"/>
      <c r="AG19" s="86"/>
      <c r="AH19" s="5"/>
      <c r="AI19" s="3"/>
      <c r="AJ19" s="5"/>
      <c r="AK19" s="24"/>
      <c r="AL19" s="5"/>
      <c r="AM19" s="8"/>
      <c r="AN19" s="5"/>
      <c r="AO19" s="8"/>
      <c r="AP19" s="5"/>
      <c r="AQ19" s="3"/>
      <c r="AR19" s="5"/>
      <c r="AS19" s="6"/>
      <c r="AT19" s="5"/>
      <c r="AV19" s="18"/>
    </row>
    <row r="20" spans="1:65" ht="15" hidden="1" customHeight="1">
      <c r="A20" s="44"/>
      <c r="B20" s="45"/>
      <c r="C20" s="45"/>
      <c r="D20" s="111"/>
      <c r="E20" s="323"/>
      <c r="F20" s="320"/>
      <c r="G20" s="320"/>
      <c r="H20" s="1970" t="str">
        <f>IF(Calculations!B81=TRUE, "Selected Management = Grazing System all Year",IF(Calculations!B82=TRUE,"Selected Management = Alternative Pasture from:",IF(Calculations!B83=TRUE,"Selected Management = Dry Lot from:")))</f>
        <v>Selected Management = Grazing System all Year</v>
      </c>
      <c r="I20" s="1971"/>
      <c r="J20" s="547" t="str">
        <f>IF(OR(Calculations!B82=TRUE,Calculations!B83=TRUE),IF(Calculations!B95=1,"Jan -",IF(Calculations!B95=2,"Feb -",IF(Calculations!B95=3,"Mar -",IF(Calculations!B95=4,"Apr -",IF(Calculations!B95=5,"May -",IF(Calculations!B95=6,"Jun -",IF(Calculations!B95=7,"Jul -",IF(Calculations!B95=8,"Aug -",IF(Calculations!B95=9,"Sep -",IF(Calculations!B95=10,"Oct -",IF(Calculations!B95=11,"Nov -",IF(Calculations!B95=12,"Dec -")))))))))))),"")</f>
        <v/>
      </c>
      <c r="K20" s="945" t="str">
        <f>IF(OR(Calculations!B82=TRUE,Calculations!B83=TRUE),IF(Calculations!B96=1,"Jan",IF(Calculations!B96=2,"Feb",IF(Calculations!B96=3,"Mar",IF(Calculations!B96=4,"Apr",IF(Calculations!B96=5,"May",IF(Calculations!B96=6,"Jun",IF(Calculations!B96=7,"Jul",IF(Calculations!B96=8,"Aug",IF(Calculations!B96=9,"Sep",IF(Calculations!B96=10,"Oct",IF(Calculations!B96=11,"Nov",IF(Calculations!B96=12,"Dec")))))))))))),"")</f>
        <v/>
      </c>
      <c r="L20" s="546"/>
      <c r="M20" s="464"/>
      <c r="N20" s="464"/>
      <c r="O20" s="464"/>
      <c r="P20" s="464"/>
      <c r="Q20" s="464"/>
      <c r="R20" s="464"/>
      <c r="S20" s="464"/>
      <c r="T20" s="464"/>
      <c r="U20" s="464"/>
      <c r="V20" s="464"/>
      <c r="W20" s="464"/>
      <c r="X20" s="464"/>
      <c r="Y20" s="465"/>
      <c r="Z20" s="334"/>
      <c r="AA20" s="85"/>
      <c r="AB20" s="5"/>
      <c r="AC20" s="5"/>
      <c r="AD20" s="5"/>
      <c r="AE20" s="85"/>
      <c r="AF20" s="5"/>
      <c r="AG20" s="86"/>
      <c r="AH20" s="5"/>
      <c r="AI20" s="3"/>
      <c r="AJ20" s="5"/>
      <c r="AK20" s="24"/>
      <c r="AL20" s="5"/>
      <c r="AM20" s="8"/>
      <c r="AN20" s="5"/>
      <c r="AO20" s="8"/>
      <c r="AP20" s="5"/>
      <c r="AQ20" s="3"/>
      <c r="AR20" s="5"/>
      <c r="AS20" s="6"/>
      <c r="AT20" s="5"/>
      <c r="AV20" s="18"/>
    </row>
    <row r="21" spans="1:65" ht="20" hidden="1" customHeight="1">
      <c r="A21" s="46"/>
      <c r="B21" s="46"/>
      <c r="C21" s="46"/>
      <c r="D21" s="112"/>
      <c r="E21" s="324"/>
      <c r="F21" s="325"/>
      <c r="G21" s="320"/>
      <c r="H21" s="856" t="s">
        <v>260</v>
      </c>
      <c r="I21" s="913"/>
      <c r="J21" s="863" t="b">
        <f>IF(I21&gt;0,Calculations!$B$117)</f>
        <v>0</v>
      </c>
      <c r="K21" s="860"/>
      <c r="L21" s="192">
        <f>M21/(MAX(Calculations!$A$26:$L$26))</f>
        <v>0</v>
      </c>
      <c r="M21" s="864">
        <f>SUM(N21:Y21)</f>
        <v>0</v>
      </c>
      <c r="N21" s="192">
        <f>(Calculations!A$25)*$K21*Calculations!G$23*$I21/100</f>
        <v>0</v>
      </c>
      <c r="O21" s="192">
        <f>(Calculations!B$25)*$K21*Calculations!H$23*$I21/100</f>
        <v>0</v>
      </c>
      <c r="P21" s="192">
        <f>(Calculations!C$25)*$K21*Calculations!I$23*$I21/100</f>
        <v>0</v>
      </c>
      <c r="Q21" s="865">
        <f>(Calculations!D$25)*$K21*Calculations!J$23*$I21/100</f>
        <v>0</v>
      </c>
      <c r="R21" s="192">
        <f>(Calculations!E$25)*$K21*Calculations!K$23*$I21/100</f>
        <v>0</v>
      </c>
      <c r="S21" s="192">
        <f>(Calculations!F$25)*$K21*Calculations!L$23*$I21/100</f>
        <v>0</v>
      </c>
      <c r="T21" s="192">
        <f>(Calculations!G$25)*$K21*Calculations!A$23*$I21/100</f>
        <v>0</v>
      </c>
      <c r="U21" s="192">
        <f>(Calculations!H$25)*$K21*Calculations!B$23*$I21/100</f>
        <v>0</v>
      </c>
      <c r="V21" s="192">
        <f>(Calculations!I$25)*$K21*Calculations!C$23*$I21/100</f>
        <v>0</v>
      </c>
      <c r="W21" s="192">
        <f>(Calculations!J$25)*$K21*Calculations!D$23*$I21/100</f>
        <v>0</v>
      </c>
      <c r="X21" s="192">
        <f>(Calculations!K$25)*$K21*Calculations!E$23*$I21/100</f>
        <v>0</v>
      </c>
      <c r="Y21" s="192">
        <f>(Calculations!L$25)*$K21*Calculations!F$23*$I21/100</f>
        <v>0</v>
      </c>
      <c r="Z21" s="334"/>
      <c r="AA21" s="85"/>
      <c r="AB21" s="5"/>
      <c r="AC21" s="5"/>
      <c r="AD21" s="5"/>
      <c r="AE21" s="85"/>
      <c r="AF21" s="5"/>
      <c r="AG21" s="86"/>
      <c r="AH21" s="5"/>
      <c r="AI21" s="3"/>
      <c r="AJ21" s="5"/>
      <c r="AK21" s="24"/>
      <c r="AL21" s="5"/>
      <c r="AM21" s="8"/>
      <c r="AN21" s="5"/>
      <c r="AO21" s="8"/>
      <c r="AP21" s="5"/>
      <c r="AQ21" s="3"/>
      <c r="AR21" s="5"/>
      <c r="AS21" s="6"/>
      <c r="AT21" s="5"/>
      <c r="AV21" s="18"/>
    </row>
    <row r="22" spans="1:65" ht="15" hidden="1" customHeight="1">
      <c r="A22" s="44"/>
      <c r="B22" s="44"/>
      <c r="C22" s="44"/>
      <c r="D22" s="109"/>
      <c r="E22" s="319"/>
      <c r="F22" s="320"/>
      <c r="G22" s="320"/>
      <c r="H22" s="466"/>
      <c r="I22" s="467"/>
      <c r="J22" s="468"/>
      <c r="K22" s="470"/>
      <c r="L22" s="471"/>
      <c r="M22" s="471"/>
      <c r="N22" s="471"/>
      <c r="O22" s="471"/>
      <c r="P22" s="471"/>
      <c r="Q22" s="471"/>
      <c r="R22" s="471"/>
      <c r="S22" s="471"/>
      <c r="T22" s="471"/>
      <c r="U22" s="471"/>
      <c r="V22" s="471"/>
      <c r="W22" s="471"/>
      <c r="X22" s="471"/>
      <c r="Y22" s="471"/>
      <c r="Z22" s="334"/>
      <c r="AA22" s="85"/>
      <c r="AB22" s="5"/>
      <c r="AC22" s="5"/>
      <c r="AD22" s="5"/>
      <c r="AE22" s="85"/>
      <c r="AF22" s="5"/>
      <c r="AG22" s="86"/>
      <c r="AH22" s="5"/>
      <c r="AI22" s="3"/>
      <c r="AJ22" s="5"/>
      <c r="AK22" s="24"/>
      <c r="AL22" s="5"/>
      <c r="AM22" s="8"/>
      <c r="AN22" s="5"/>
      <c r="AO22" s="8"/>
      <c r="AP22" s="5"/>
      <c r="AQ22" s="3"/>
      <c r="AR22" s="5"/>
      <c r="AS22" s="6"/>
      <c r="AT22" s="5"/>
      <c r="AV22" s="18"/>
      <c r="BB22" s="22"/>
      <c r="BC22" s="22"/>
      <c r="BD22" s="22"/>
      <c r="BE22" s="22"/>
      <c r="BF22" s="22"/>
      <c r="BG22" s="22"/>
      <c r="BH22" s="22"/>
      <c r="BI22" s="22"/>
      <c r="BJ22" s="22"/>
      <c r="BK22" s="22"/>
      <c r="BL22" s="22"/>
      <c r="BM22" s="22"/>
    </row>
    <row r="23" spans="1:65" ht="20" hidden="1" customHeight="1">
      <c r="A23" s="44"/>
      <c r="B23" s="44"/>
      <c r="C23" s="44"/>
      <c r="D23" s="109"/>
      <c r="E23" s="319"/>
      <c r="F23" s="320"/>
      <c r="G23" s="320"/>
      <c r="H23" s="856" t="s">
        <v>261</v>
      </c>
      <c r="I23" s="194"/>
      <c r="J23" s="863" t="b">
        <f>IF(I23&gt;0,Calculations!$B$118)</f>
        <v>0</v>
      </c>
      <c r="K23" s="860"/>
      <c r="L23" s="192">
        <f>M23/(MAX(Calculations!$A$29:$L$29))</f>
        <v>0</v>
      </c>
      <c r="M23" s="864">
        <f>SUM(N23:Y23)</f>
        <v>0</v>
      </c>
      <c r="N23" s="192">
        <f>(Calculations!A$28)*$K23*Calculations!G$23*$I23/100</f>
        <v>0</v>
      </c>
      <c r="O23" s="192">
        <f>(Calculations!B$28)*$K23*Calculations!H$23*$I23/100</f>
        <v>0</v>
      </c>
      <c r="P23" s="192">
        <f>(Calculations!C$28)*$K23*Calculations!I$23*$I23/100</f>
        <v>0</v>
      </c>
      <c r="Q23" s="865">
        <f>(Calculations!D$28)*$K23*Calculations!J$23*$I23/100</f>
        <v>0</v>
      </c>
      <c r="R23" s="192">
        <f>(Calculations!E$28)*$K23*Calculations!K$23*$I23/100</f>
        <v>0</v>
      </c>
      <c r="S23" s="192">
        <f>(Calculations!F$28)*$K23*Calculations!L$23*$I23/100</f>
        <v>0</v>
      </c>
      <c r="T23" s="192">
        <f>(Calculations!G$28)*$K23*Calculations!A$23*$I23/100</f>
        <v>0</v>
      </c>
      <c r="U23" s="192">
        <f>(Calculations!H$28)*$K23*Calculations!B$23*$I23/100</f>
        <v>0</v>
      </c>
      <c r="V23" s="192">
        <f>(Calculations!I$28)*$K23*Calculations!C$23*$I23/100</f>
        <v>0</v>
      </c>
      <c r="W23" s="192">
        <f>(Calculations!J$28)*$K23*Calculations!D$23*$I23/100</f>
        <v>0</v>
      </c>
      <c r="X23" s="192">
        <f>(Calculations!K$28)*$K23*Calculations!E$23*$I23/100</f>
        <v>0</v>
      </c>
      <c r="Y23" s="192">
        <f>(Calculations!L$28)*$K23*Calculations!F$23*$I23/100</f>
        <v>0</v>
      </c>
      <c r="Z23" s="334"/>
      <c r="AA23" s="85"/>
      <c r="AB23" s="5"/>
      <c r="AC23" s="5"/>
      <c r="AD23" s="5"/>
      <c r="AE23" s="85"/>
      <c r="AF23" s="5"/>
      <c r="AG23" s="86"/>
      <c r="AH23" s="5"/>
      <c r="AI23" s="3"/>
      <c r="AJ23" s="5"/>
      <c r="AK23" s="24"/>
      <c r="AL23" s="5"/>
      <c r="AM23" s="8"/>
      <c r="AN23" s="5"/>
      <c r="AO23" s="8"/>
      <c r="AP23" s="5"/>
      <c r="AQ23" s="3"/>
      <c r="AR23" s="5"/>
      <c r="AS23" s="6"/>
      <c r="AT23" s="5"/>
      <c r="AV23" s="18"/>
    </row>
    <row r="24" spans="1:65" ht="15" hidden="1" customHeight="1">
      <c r="A24" s="44"/>
      <c r="B24" s="44"/>
      <c r="C24" s="44"/>
      <c r="D24" s="109"/>
      <c r="E24" s="319"/>
      <c r="F24" s="320"/>
      <c r="G24" s="320"/>
      <c r="H24" s="466"/>
      <c r="I24" s="467"/>
      <c r="J24" s="468"/>
      <c r="K24" s="470"/>
      <c r="L24" s="471"/>
      <c r="M24" s="471"/>
      <c r="N24" s="471"/>
      <c r="O24" s="471"/>
      <c r="P24" s="471"/>
      <c r="Q24" s="471"/>
      <c r="R24" s="471"/>
      <c r="S24" s="471"/>
      <c r="T24" s="471"/>
      <c r="U24" s="471"/>
      <c r="V24" s="471"/>
      <c r="W24" s="471"/>
      <c r="X24" s="471"/>
      <c r="Y24" s="471"/>
      <c r="Z24" s="334"/>
      <c r="AA24" s="85"/>
      <c r="AB24" s="5"/>
      <c r="AC24" s="5"/>
      <c r="AD24" s="5"/>
      <c r="AE24" s="85"/>
      <c r="AF24" s="5"/>
      <c r="AG24" s="86"/>
      <c r="AH24" s="5"/>
      <c r="AI24" s="3"/>
      <c r="AJ24" s="5"/>
      <c r="AK24" s="24"/>
      <c r="AL24" s="5"/>
      <c r="AM24" s="8"/>
      <c r="AN24" s="5"/>
      <c r="AO24" s="8"/>
      <c r="AP24" s="5"/>
      <c r="AQ24" s="3"/>
      <c r="AR24" s="5"/>
      <c r="AS24" s="6"/>
      <c r="AT24" s="5"/>
      <c r="AV24" s="18"/>
    </row>
    <row r="25" spans="1:65" ht="19.5" hidden="1" customHeight="1">
      <c r="A25" s="44"/>
      <c r="B25" s="44"/>
      <c r="C25" s="44"/>
      <c r="D25" s="109"/>
      <c r="E25" s="319"/>
      <c r="F25" s="320"/>
      <c r="G25" s="320"/>
      <c r="H25" s="856" t="s">
        <v>525</v>
      </c>
      <c r="I25" s="194"/>
      <c r="J25" s="195"/>
      <c r="K25" s="43"/>
      <c r="L25" s="43"/>
      <c r="M25" s="861">
        <f>SUM(N26:Y26)</f>
        <v>0</v>
      </c>
      <c r="N25" s="869">
        <f>IF(Calculations!$D$45&lt;Calculations!$D$46,(IF(Calculations!$D$45&lt;=1,(IF(Calculations!$D$46&gt;=1,L26*31,L27*31)),L27*31)),IF(Calculations!$D$46&gt;=1,L26*31,IF(Calculations!$D$45&lt;=1,L26*31,L27*31)))</f>
        <v>0</v>
      </c>
      <c r="O25" s="869">
        <f>IF(Calculations!$D$45&lt;Calculations!$D$46,(IF(Calculations!$D$45&lt;=2,(IF(Calculations!$D$46&gt;=2,L26*28,L27*28)),L27*28)),IF(Calculations!$D$46&gt;=2,L26*28,IF(Calculations!$D$45&lt;=2,L26*28,L27*28)))</f>
        <v>0</v>
      </c>
      <c r="P25" s="869">
        <f>IF(Calculations!$D$45&lt;Calculations!$D$46,(IF(Calculations!$D$45&lt;=3,(IF(Calculations!$D$46&gt;=3,L26*31,L27*31)),L27*31)),IF(Calculations!$D$46&gt;=3,L26*31,IF(Calculations!$D$45&lt;=3,L26*31,L27*31)))</f>
        <v>0</v>
      </c>
      <c r="Q25" s="868">
        <f>IF(Calculations!$D$45&lt;Calculations!$D$46,(IF(Calculations!$D$45&lt;=4,(IF(Calculations!$D$46&gt;=4,L26*30,L27*30)),L27*30)),IF(Calculations!$D$46&gt;=4,L26*30,IF(Calculations!$D$45&lt;=4,L26*30,L27*30)))</f>
        <v>0</v>
      </c>
      <c r="R25" s="869">
        <f>IF(Calculations!$D$45&lt;Calculations!$D$46,(IF(Calculations!$D$45&lt;=5,(IF(Calculations!$D$46&gt;=5,L26*31,L27*31)),L27*31)),IF(Calculations!$D$46&gt;=5,L26*31,IF(Calculations!$D$45&lt;=5,L26*31,L27*31)))</f>
        <v>0</v>
      </c>
      <c r="S25" s="869">
        <f>IF(Calculations!$D$45&lt;Calculations!$D$46,(IF(Calculations!$D$45&lt;=6,(IF(Calculations!$D$46&gt;=6,L26*30,L27*30)),L27*30)),IF(Calculations!$D$46&gt;=6,L26*30,IF(Calculations!$D$45&lt;=6,L26*30,L27*30)))</f>
        <v>0</v>
      </c>
      <c r="T25" s="869">
        <f>IF(Calculations!$D$45&lt;Calculations!$D$46,(IF(Calculations!$D$45&lt;=7,(IF(Calculations!$D$46&gt;=7,L26*31,L27*31)),L27*31)),IF(Calculations!$D$46&gt;=7,L26*31,IF(Calculations!$D$45&lt;=7,L26*31,L27*31)))</f>
        <v>0</v>
      </c>
      <c r="U25" s="869">
        <f>IF(Calculations!$D$45&lt;Calculations!$D$46,(IF(Calculations!$D$45&lt;=8,(IF(Calculations!$D$46&gt;=8,L26*31,L27*31)),L27*31)),IF(Calculations!$D$46&gt;=8,L26*31,IF(Calculations!$D$45&lt;=8,L26*31,L27*31)))</f>
        <v>0</v>
      </c>
      <c r="V25" s="869">
        <f>IF(Calculations!$D$45&lt;Calculations!$D$46,(IF(Calculations!$D$45&lt;=9,(IF(Calculations!$D$46&gt;=9,L26*30,L27*30)),L27*30)),IF(Calculations!$D$46&gt;=9,L26*30,IF(Calculations!$D$45&lt;=9,L26*30,L27*30)))</f>
        <v>0</v>
      </c>
      <c r="W25" s="869">
        <f>IF(Calculations!$D$45&lt;Calculations!$D$46,(IF(Calculations!$D$45&lt;=10,(IF(Calculations!$D$46&gt;=10,L26*31,L27*31)),L27*31)),IF(Calculations!$D$46&gt;=10,L26*31,IF(Calculations!$D$45&lt;=10,L26*31,L27*31)))</f>
        <v>0</v>
      </c>
      <c r="X25" s="869">
        <f>IF(Calculations!$D$45&lt;Calculations!$D$46,(IF(Calculations!$D$45&lt;=11,(IF(Calculations!$D$46&gt;=11,L26*30,L27*30)),L27*30)),IF(Calculations!$D$46&gt;=11,L26*30,IF(Calculations!$D$45&lt;=11,L26*30,L27*30)))</f>
        <v>0</v>
      </c>
      <c r="Y25" s="869">
        <f>IF(Calculations!$D$45&lt;Calculations!$D$46,(IF(Calculations!$D$45&lt;=12,(IF(Calculations!$D$46&gt;=12,L26*31,L27*31)),L27*31)),IF(Calculations!$D$46&gt;=12,L26*31,IF(Calculations!$D$45&lt;=12,L26*31,L27*31)))</f>
        <v>0</v>
      </c>
      <c r="Z25" s="334"/>
      <c r="AA25" s="85"/>
      <c r="AB25" s="5"/>
      <c r="AC25" s="5"/>
      <c r="AD25" s="5"/>
      <c r="AE25" s="85"/>
      <c r="AF25" s="5"/>
      <c r="AG25" s="86"/>
      <c r="AH25" s="5"/>
      <c r="AI25" s="3"/>
      <c r="AJ25" s="5"/>
      <c r="AK25" s="24"/>
      <c r="AL25" s="5"/>
      <c r="AM25" s="8"/>
      <c r="AN25" s="5"/>
      <c r="AO25" s="8"/>
      <c r="AP25" s="5"/>
      <c r="AQ25" s="3"/>
      <c r="AR25" s="5"/>
      <c r="AS25" s="6"/>
      <c r="AT25" s="5"/>
      <c r="AV25" s="18"/>
    </row>
    <row r="26" spans="1:65" ht="20.25" hidden="1" customHeight="1">
      <c r="D26" s="110"/>
      <c r="E26" s="319"/>
      <c r="F26" s="320"/>
      <c r="G26" s="320"/>
      <c r="H26" s="1919" t="s">
        <v>235</v>
      </c>
      <c r="I26" s="1920"/>
      <c r="J26" s="1921"/>
      <c r="K26" s="866"/>
      <c r="L26" s="896">
        <f>I25*J25*K26/100</f>
        <v>0</v>
      </c>
      <c r="M26" s="144"/>
      <c r="N26" s="144"/>
      <c r="O26" s="144"/>
      <c r="P26" s="144"/>
      <c r="Q26" s="144"/>
      <c r="R26" s="144"/>
      <c r="S26" s="144"/>
      <c r="T26" s="144"/>
      <c r="U26" s="144"/>
      <c r="V26" s="144"/>
      <c r="W26" s="144"/>
      <c r="X26" s="144"/>
      <c r="Y26" s="144"/>
      <c r="Z26" s="334"/>
      <c r="AA26" s="85"/>
      <c r="AB26" s="5"/>
      <c r="AC26" s="5"/>
      <c r="AD26" s="5"/>
      <c r="AE26" s="85"/>
      <c r="AF26" s="5"/>
      <c r="AG26" s="86"/>
      <c r="AH26" s="5"/>
      <c r="AI26" s="3"/>
      <c r="AJ26" s="5"/>
      <c r="AK26" s="24"/>
      <c r="AL26" s="5"/>
      <c r="AM26" s="8"/>
      <c r="AN26" s="5"/>
      <c r="AO26" s="8"/>
      <c r="AP26" s="5"/>
      <c r="AQ26" s="3"/>
      <c r="AR26" s="5"/>
      <c r="AS26" s="6"/>
      <c r="AT26" s="5"/>
      <c r="AV26" s="18"/>
    </row>
    <row r="27" spans="1:65" ht="20.25" hidden="1" customHeight="1">
      <c r="A27" s="16"/>
      <c r="B27" s="15"/>
      <c r="D27" s="110"/>
      <c r="E27" s="319"/>
      <c r="F27" s="320"/>
      <c r="G27" s="320"/>
      <c r="H27" s="1919" t="s">
        <v>236</v>
      </c>
      <c r="I27" s="1920"/>
      <c r="J27" s="1921"/>
      <c r="K27" s="860"/>
      <c r="L27" s="867">
        <f>I25*J25*K27/100</f>
        <v>0</v>
      </c>
      <c r="M27" s="145"/>
      <c r="N27" s="145"/>
      <c r="O27" s="145"/>
      <c r="P27" s="145"/>
      <c r="Q27" s="145"/>
      <c r="R27" s="145"/>
      <c r="S27" s="145"/>
      <c r="T27" s="145"/>
      <c r="U27" s="145"/>
      <c r="V27" s="145"/>
      <c r="W27" s="145"/>
      <c r="X27" s="145"/>
      <c r="Y27" s="146"/>
      <c r="Z27" s="334"/>
      <c r="AA27" s="85"/>
      <c r="AB27" s="5"/>
      <c r="AC27" s="5"/>
      <c r="AD27" s="5"/>
      <c r="AE27" s="85"/>
      <c r="AF27" s="5"/>
      <c r="AG27" s="86"/>
      <c r="AH27" s="5"/>
      <c r="AI27" s="3"/>
      <c r="AJ27" s="5"/>
      <c r="AK27" s="24"/>
      <c r="AL27" s="5"/>
      <c r="AM27" s="8"/>
      <c r="AN27" s="5"/>
      <c r="AO27" s="8"/>
      <c r="AP27" s="5"/>
      <c r="AQ27" s="3"/>
      <c r="AR27" s="5"/>
      <c r="AS27" s="6"/>
      <c r="AT27" s="5"/>
      <c r="AV27" s="18"/>
      <c r="AW27" s="19"/>
      <c r="AX27" s="19"/>
      <c r="AY27" s="19"/>
      <c r="AZ27" s="19"/>
    </row>
    <row r="28" spans="1:65" ht="15" hidden="1" customHeight="1">
      <c r="A28" s="16"/>
      <c r="B28" s="15"/>
      <c r="D28" s="110"/>
      <c r="E28" s="319"/>
      <c r="F28" s="320"/>
      <c r="G28" s="320"/>
      <c r="H28" s="1970" t="str">
        <f>IF(Calculations!G45=TRUE, "Selected Management = Grazing System all Year",IF(Calculations!H45=TRUE,"Selected Management = Alternative Pasture from:",IF(Calculations!I45=TRUE,"Selected Management = Dry Lot from:")))</f>
        <v>Selected Management = Grazing System all Year</v>
      </c>
      <c r="I28" s="1971"/>
      <c r="J28" s="547" t="str">
        <f>IF(OR(Calculations!H45=TRUE,Calculations!I45=TRUE),IF(Calculations!D46=1,"Feb -",IF(Calculations!D46=2,"Mar -",IF(Calculations!D46=3,"Apr -",IF(Calculations!D46=4,"May -",IF(Calculations!D46=5,"Jun -",IF(Calculations!D46=6,"Jul -",IF(Calculations!D46=7,"Aug -",IF(Calculations!D46=8,"Sep -",IF(Calculations!D46=9,"Oct -",IF(Calculations!D46=10,"Nov -",IF(Calculations!D46=11,"Dec -",IF(Calculations!D46=12,"Jan -")))))))))))),"")</f>
        <v/>
      </c>
      <c r="K28" s="945" t="str">
        <f>IF(OR(Calculations!H45=TRUE,Calculations!I45=TRUE),IF(Calculations!D45=1,"Dec",IF(Calculations!D45=2,"Jan",IF(Calculations!D45=3,"Feb",IF(Calculations!D45=4,"Mar",IF(Calculations!D45=5,"Apr",IF(Calculations!D45=6,"May",IF(Calculations!D45=7,"Jun",IF(Calculations!D45=8,"Jul",IF(Calculations!D45=9,"Aug",IF(Calculations!D45=10,"Sep",IF(Calculations!D45=11,"Oct",IF(Calculations!D45=12,"Nov")))))))))))),"")</f>
        <v/>
      </c>
      <c r="L28" s="478"/>
      <c r="M28" s="472"/>
      <c r="N28" s="472"/>
      <c r="O28" s="472"/>
      <c r="P28" s="472"/>
      <c r="Q28" s="472"/>
      <c r="R28" s="472"/>
      <c r="S28" s="472"/>
      <c r="T28" s="472"/>
      <c r="U28" s="472"/>
      <c r="V28" s="472"/>
      <c r="W28" s="472"/>
      <c r="X28" s="472"/>
      <c r="Y28" s="473"/>
      <c r="Z28" s="334"/>
      <c r="AA28" s="85"/>
      <c r="AB28" s="5"/>
      <c r="AC28" s="5"/>
      <c r="AD28" s="5"/>
      <c r="AE28" s="85"/>
      <c r="AF28" s="5"/>
      <c r="AG28" s="86"/>
      <c r="AH28" s="5"/>
      <c r="AI28" s="3"/>
      <c r="AJ28" s="5"/>
      <c r="AK28" s="24"/>
      <c r="AL28" s="5"/>
      <c r="AM28" s="8"/>
      <c r="AN28" s="5"/>
      <c r="AO28" s="8"/>
      <c r="AP28" s="5"/>
      <c r="AQ28" s="3"/>
      <c r="AR28" s="5"/>
      <c r="AS28" s="6"/>
      <c r="AT28" s="5"/>
      <c r="AV28" s="18"/>
      <c r="AW28" s="19"/>
      <c r="AX28" s="19"/>
      <c r="AY28" s="19"/>
      <c r="AZ28" s="19"/>
    </row>
    <row r="29" spans="1:65" ht="19.5" hidden="1" customHeight="1">
      <c r="A29" s="16"/>
      <c r="B29" s="15"/>
      <c r="D29" s="110"/>
      <c r="E29" s="319"/>
      <c r="F29" s="320"/>
      <c r="G29" s="320"/>
      <c r="H29" s="857" t="s">
        <v>307</v>
      </c>
      <c r="I29" s="311"/>
      <c r="J29" s="312"/>
      <c r="K29" s="870"/>
      <c r="L29" s="192">
        <f>I29*J29*K29/100</f>
        <v>0</v>
      </c>
      <c r="M29" s="861">
        <f>SUM(N29:Y29)</f>
        <v>0</v>
      </c>
      <c r="N29" s="862">
        <f>$L29*31</f>
        <v>0</v>
      </c>
      <c r="O29" s="192">
        <f>$L29*28</f>
        <v>0</v>
      </c>
      <c r="P29" s="192">
        <f>$L29*31</f>
        <v>0</v>
      </c>
      <c r="Q29" s="192">
        <f>$L29*30</f>
        <v>0</v>
      </c>
      <c r="R29" s="192">
        <f>$L29*31</f>
        <v>0</v>
      </c>
      <c r="S29" s="192">
        <f>$L29*30</f>
        <v>0</v>
      </c>
      <c r="T29" s="192">
        <f>$L29*31</f>
        <v>0</v>
      </c>
      <c r="U29" s="192">
        <f>$L29*31</f>
        <v>0</v>
      </c>
      <c r="V29" s="192">
        <f>$L29*30</f>
        <v>0</v>
      </c>
      <c r="W29" s="192">
        <f>$L29*31</f>
        <v>0</v>
      </c>
      <c r="X29" s="192">
        <f>$L29*30</f>
        <v>0</v>
      </c>
      <c r="Y29" s="192">
        <f>$L29*31</f>
        <v>0</v>
      </c>
      <c r="Z29" s="334"/>
      <c r="AA29" s="85"/>
      <c r="AB29" s="5"/>
      <c r="AC29" s="5"/>
      <c r="AD29" s="5"/>
      <c r="AE29" s="85"/>
      <c r="AF29" s="5"/>
      <c r="AG29" s="86"/>
      <c r="AH29" s="5"/>
      <c r="AI29" s="3"/>
      <c r="AJ29" s="5"/>
      <c r="AK29" s="24"/>
      <c r="AL29" s="5"/>
      <c r="AM29" s="8"/>
      <c r="AN29" s="5"/>
      <c r="AO29" s="8"/>
      <c r="AP29" s="5"/>
      <c r="AQ29" s="3"/>
      <c r="AR29" s="5"/>
      <c r="AS29" s="6"/>
      <c r="AT29" s="5"/>
      <c r="AV29" s="18"/>
      <c r="AW29" s="19"/>
      <c r="AX29" s="19"/>
      <c r="AY29" s="19"/>
      <c r="AZ29" s="19"/>
    </row>
    <row r="30" spans="1:65" ht="15" hidden="1" customHeight="1">
      <c r="A30" s="16"/>
      <c r="B30" s="15"/>
      <c r="D30" s="110"/>
      <c r="E30" s="319"/>
      <c r="F30" s="320"/>
      <c r="G30" s="320"/>
      <c r="H30" s="1970" t="str">
        <f>IF(Calculations!G54=TRUE, "Selected Management = Grazing System all Year",IF(Calculations!H54=TRUE,"Selected Management = Alternative Pasture from:",IF(Calculations!I54=TRUE,"Selected Management = Dry Lot from:")))</f>
        <v>Selected Management = Grazing System all Year</v>
      </c>
      <c r="I30" s="1971"/>
      <c r="J30" s="547" t="str">
        <f>IF(OR(Calculations!H54=TRUE,Calculations!I54=TRUE),IF(Calculations!D50=1,"Jan -",IF(Calculations!D50=2,"Feb -",IF(Calculations!D50=3,"Mar -",IF(Calculations!D50=4,"Apr -",IF(Calculations!D50=5,"May -",IF(Calculations!D50=6,"Jun -",IF(Calculations!D50=7,"Jul -",IF(Calculations!D50=8,"Aug -",IF(Calculations!D50=9,"Sep -",IF(Calculations!D50=10,"Oct -",IF(Calculations!D50=11,"Nov -",IF(Calculations!D50=12,"Dec -")))))))))))),"")</f>
        <v/>
      </c>
      <c r="K30" s="945" t="str">
        <f>IF(OR(Calculations!H54=TRUE,Calculations!I54=TRUE),IF(Calculations!D51=1,"Jan",IF(Calculations!D51=2,"Feb",IF(Calculations!D51=3,"Mar",IF(Calculations!D51=4,"Apr",IF(Calculations!D51=5,"May",IF(Calculations!D51=6,"Jun",IF(Calculations!D51=7,"Jul",IF(Calculations!D51=8,"Aug",IF(Calculations!D51=9,"Sep",IF(Calculations!D51=10,"Oct",IF(Calculations!D51=11,"Nov",IF(Calculations!D51=12,"Dec")))))))))))),"")</f>
        <v/>
      </c>
      <c r="L30" s="478"/>
      <c r="M30" s="472"/>
      <c r="N30" s="472"/>
      <c r="O30" s="472"/>
      <c r="P30" s="472"/>
      <c r="Q30" s="472"/>
      <c r="R30" s="472"/>
      <c r="S30" s="472"/>
      <c r="T30" s="472"/>
      <c r="U30" s="472"/>
      <c r="V30" s="472"/>
      <c r="W30" s="472"/>
      <c r="X30" s="472"/>
      <c r="Y30" s="473"/>
      <c r="Z30" s="334"/>
      <c r="AA30" s="85"/>
      <c r="AB30" s="5"/>
      <c r="AC30" s="5"/>
      <c r="AD30" s="5"/>
      <c r="AE30" s="85"/>
      <c r="AF30" s="5"/>
      <c r="AG30" s="86"/>
      <c r="AH30" s="5"/>
      <c r="AI30" s="3"/>
      <c r="AJ30" s="5"/>
      <c r="AK30" s="24"/>
      <c r="AL30" s="5"/>
      <c r="AM30" s="8"/>
      <c r="AN30" s="5"/>
      <c r="AO30" s="8"/>
      <c r="AP30" s="5"/>
      <c r="AQ30" s="3"/>
      <c r="AR30" s="5"/>
      <c r="AS30" s="6"/>
      <c r="AT30" s="5"/>
      <c r="AV30" s="18"/>
      <c r="AW30" s="19"/>
      <c r="AX30" s="19"/>
      <c r="AY30" s="19"/>
      <c r="AZ30" s="19"/>
    </row>
    <row r="31" spans="1:65" ht="20" hidden="1" customHeight="1">
      <c r="A31" s="16"/>
      <c r="D31" s="110"/>
      <c r="E31" s="319"/>
      <c r="F31" s="320"/>
      <c r="G31" s="320"/>
      <c r="H31" s="856" t="s">
        <v>305</v>
      </c>
      <c r="I31" s="194"/>
      <c r="J31" s="195"/>
      <c r="K31" s="860"/>
      <c r="L31" s="192">
        <f>I31*J31*K31/100</f>
        <v>0</v>
      </c>
      <c r="M31" s="861">
        <f>SUM(N31:Y31)</f>
        <v>0</v>
      </c>
      <c r="N31" s="862">
        <f>$L31*31</f>
        <v>0</v>
      </c>
      <c r="O31" s="192">
        <f>$L31*28</f>
        <v>0</v>
      </c>
      <c r="P31" s="192">
        <f>$L31*31</f>
        <v>0</v>
      </c>
      <c r="Q31" s="192">
        <f>$L31*30</f>
        <v>0</v>
      </c>
      <c r="R31" s="192">
        <f>$L31*31</f>
        <v>0</v>
      </c>
      <c r="S31" s="192">
        <f>$L31*30</f>
        <v>0</v>
      </c>
      <c r="T31" s="192">
        <f>$L31*31</f>
        <v>0</v>
      </c>
      <c r="U31" s="192">
        <f>$L31*31</f>
        <v>0</v>
      </c>
      <c r="V31" s="192">
        <f>$L31*30</f>
        <v>0</v>
      </c>
      <c r="W31" s="192">
        <f>$L31*31</f>
        <v>0</v>
      </c>
      <c r="X31" s="192">
        <f>$L31*30</f>
        <v>0</v>
      </c>
      <c r="Y31" s="192">
        <f>$L31*31</f>
        <v>0</v>
      </c>
      <c r="Z31" s="334"/>
      <c r="AA31" s="85"/>
      <c r="AB31" s="5"/>
      <c r="AC31" s="5"/>
      <c r="AD31" s="5"/>
      <c r="AE31" s="85"/>
      <c r="AF31" s="5"/>
      <c r="AG31" s="86"/>
      <c r="AH31" s="5"/>
      <c r="AI31" s="3"/>
      <c r="AJ31" s="5"/>
      <c r="AK31" s="24"/>
      <c r="AL31" s="5"/>
      <c r="AM31" s="8"/>
      <c r="AN31" s="5"/>
      <c r="AO31" s="8"/>
      <c r="AP31" s="5"/>
      <c r="AQ31" s="3"/>
      <c r="AR31" s="5"/>
      <c r="AS31" s="6"/>
      <c r="AT31" s="5"/>
      <c r="AV31" s="18"/>
    </row>
    <row r="32" spans="1:65" ht="15" hidden="1" customHeight="1">
      <c r="A32" s="32"/>
      <c r="B32" s="15"/>
      <c r="D32" s="110"/>
      <c r="E32" s="319"/>
      <c r="F32" s="320"/>
      <c r="G32" s="320"/>
      <c r="H32" s="1970" t="b">
        <f>IF(Calculations!G50=TRUE,"Selected Management = Moved to Alternative Pasture",IF(Calculations!H50=TRUE,"Selected Management = Moved to Dry Lot"))</f>
        <v>0</v>
      </c>
      <c r="I32" s="1971"/>
      <c r="J32" s="464"/>
      <c r="K32" s="946"/>
      <c r="L32" s="472"/>
      <c r="M32" s="472"/>
      <c r="N32" s="472"/>
      <c r="O32" s="464"/>
      <c r="P32" s="464"/>
      <c r="Q32" s="464"/>
      <c r="R32" s="464"/>
      <c r="S32" s="464"/>
      <c r="T32" s="464"/>
      <c r="U32" s="464"/>
      <c r="V32" s="464"/>
      <c r="W32" s="464"/>
      <c r="X32" s="464"/>
      <c r="Y32" s="465"/>
      <c r="Z32" s="334"/>
      <c r="AA32" s="85"/>
      <c r="AB32" s="5"/>
      <c r="AC32" s="5"/>
      <c r="AD32" s="5"/>
      <c r="AE32" s="85"/>
      <c r="AF32" s="5"/>
      <c r="AG32" s="86"/>
      <c r="AH32" s="5"/>
      <c r="AI32" s="3"/>
      <c r="AJ32" s="5"/>
      <c r="AK32" s="24"/>
      <c r="AL32" s="5"/>
      <c r="AM32" s="8"/>
      <c r="AN32" s="5"/>
      <c r="AO32" s="8"/>
      <c r="AP32" s="5"/>
      <c r="AQ32" s="3"/>
      <c r="AR32" s="5"/>
      <c r="AS32" s="6"/>
      <c r="AT32" s="5"/>
      <c r="AV32" s="18"/>
    </row>
    <row r="33" spans="1:48" ht="20" hidden="1" customHeight="1">
      <c r="A33" s="32"/>
      <c r="B33" s="15"/>
      <c r="D33" s="110"/>
      <c r="E33" s="319"/>
      <c r="F33" s="320"/>
      <c r="G33" s="320"/>
      <c r="H33" s="856" t="s">
        <v>35</v>
      </c>
      <c r="I33" s="194"/>
      <c r="J33" s="195"/>
      <c r="K33" s="860"/>
      <c r="L33" s="192">
        <f>I33*J33*K33/100</f>
        <v>0</v>
      </c>
      <c r="M33" s="861">
        <f>SUM(N33:Y33)</f>
        <v>0</v>
      </c>
      <c r="N33" s="862">
        <f>$L33*31</f>
        <v>0</v>
      </c>
      <c r="O33" s="192">
        <f>$L33*28</f>
        <v>0</v>
      </c>
      <c r="P33" s="192">
        <f>$L33*31</f>
        <v>0</v>
      </c>
      <c r="Q33" s="192">
        <f>$L33*30</f>
        <v>0</v>
      </c>
      <c r="R33" s="192">
        <f>$L33*31</f>
        <v>0</v>
      </c>
      <c r="S33" s="192">
        <f>$L33*30</f>
        <v>0</v>
      </c>
      <c r="T33" s="192">
        <f>$L33*31</f>
        <v>0</v>
      </c>
      <c r="U33" s="192">
        <f>$L33*31</f>
        <v>0</v>
      </c>
      <c r="V33" s="192">
        <f>$L33*30</f>
        <v>0</v>
      </c>
      <c r="W33" s="192">
        <f>$L33*31</f>
        <v>0</v>
      </c>
      <c r="X33" s="192">
        <f>$L33*30</f>
        <v>0</v>
      </c>
      <c r="Y33" s="192">
        <f>$L33*31</f>
        <v>0</v>
      </c>
      <c r="Z33" s="334"/>
      <c r="AA33" s="88"/>
      <c r="AB33" s="20"/>
      <c r="AC33" s="5"/>
      <c r="AD33" s="5"/>
      <c r="AE33" s="85"/>
      <c r="AF33" s="5"/>
      <c r="AG33" s="86"/>
      <c r="AH33" s="5"/>
      <c r="AI33" s="3"/>
      <c r="AJ33" s="5"/>
      <c r="AK33" s="24"/>
      <c r="AL33" s="5"/>
      <c r="AM33" s="8"/>
      <c r="AN33" s="5"/>
      <c r="AO33" s="8"/>
      <c r="AP33" s="5"/>
      <c r="AQ33" s="3"/>
      <c r="AR33" s="5"/>
      <c r="AS33" s="6"/>
      <c r="AT33" s="5"/>
      <c r="AV33" s="18"/>
    </row>
    <row r="34" spans="1:48" ht="15" hidden="1" customHeight="1">
      <c r="A34" s="32"/>
      <c r="B34" s="15"/>
      <c r="D34" s="110"/>
      <c r="E34" s="319"/>
      <c r="F34" s="320"/>
      <c r="G34" s="320"/>
      <c r="H34" s="1970" t="str">
        <f>IF(Calculations!B55=TRUE, "Selected Management = Grazing System all Year",IF(OR(Calculations!B56=TRUE,Calculations!B58=TRUE),"Selected Management = Alternative Pasture from:",IF(OR(Calculations!B57=TRUE,Calculations!B59=TRUE),"Selected Management = Dry Lot from:")))</f>
        <v>Selected Management = Alternative Pasture from:</v>
      </c>
      <c r="I34" s="1971"/>
      <c r="J34" s="547" t="str">
        <f>IF(OR(Calculations!B56=TRUE,Calculations!B57=TRUE,Calculations!B58=TRUE,Calculations!B59=TRUE),IF(Calculations!B63=1,"Feb -",IF(Calculations!B63=2,"Mar -",IF(Calculations!B63=3,"Apr -",IF(Calculations!B63=4,"May -",IF(Calculations!B63=5,"Jun -",IF(Calculations!B63=6,"Jul -",IF(Calculations!B63=7,"Aug -",IF(Calculations!B63=8,"Sep -",IF(Calculations!B63=9,"Oct -",IF(Calculations!B63=10,"Nov -",IF(Calculations!B63=11,"Dec -",IF(Calculations!B63=12,"Jan -")))))))))))),"")</f>
        <v>May -</v>
      </c>
      <c r="K34" s="945" t="str">
        <f>IF(OR(Calculations!B56=TRUE,Calculations!B57=TRUE),IF(Calculations!B62=1,"Dec",IF(Calculations!B62=2,"Jan",IF(Calculations!B62=3,"Feb",IF(Calculations!B62=4,"Mar",IF(Calculations!B62=5,"Apr",IF(Calculations!B62=6,"May",IF(Calculations!B62=7,"Jun",IF(Calculations!B62=8,"Jul",IF(Calculations!B62=9,"Aug",IF(Calculations!B62=10,"Sep",IF(Calculations!B62=11,"Oct",IF(Calculations!B62=12,"Nov")))))))))))),IF(OR(,Calculations!B58=TRUE,Calculations!B59=TRUE),IF(Calculations!B65=1,"Dec",IF(Calculations!B65=2,"Jan",IF(Calculations!B65=3,"Feb",IF(Calculations!B65=4,"Mar",IF(Calculations!B65=5,"Apr",IF(Calculations!B65=6,"May",IF(Calculations!B65=7,"Jun",IF(Calculations!B65=8,"Jul",IF(Calculations!B65=9,"Aug",IF(Calculations!B65=10,"Sep",IF(Calculations!B65=11,"Oct",IF(Calculations!B65=12,"Nov"))))))))))))))</f>
        <v>Feb</v>
      </c>
      <c r="L34" s="463" t="str">
        <f>IF(OR(Calculations!B58=TRUE,Calculations!B59=TRUE)=TRUE,"and","")</f>
        <v/>
      </c>
      <c r="M34" s="547" t="str">
        <f>IF(OR(Calculations!B58=TRUE,Calculations!B59=TRUE),IF(Calculations!B66=1,"Feb -",IF(Calculations!B66=2,"Mar -",IF(Calculations!B66=3,"Apr -",IF(Calculations!B66=4,"May -",IF(Calculations!B66=5,"Jun -",IF(Calculations!B66=6,"Jul -",IF(Calculations!B66=7,"Aug -",IF(Calculations!B66=8,"Sep -",IF(Calculations!B66=9,"Oct -",IF(Calculations!B66=10,"Nov -",IF(Calculations!B66=11,"Dec -",IF(Calculations!B66=12,"Jan -")))))))))))),"")</f>
        <v/>
      </c>
      <c r="N34" s="546" t="str">
        <f>IF(OR(Calculations!B58=TRUE,Calculations!B59=TRUE),IF(Calculations!B62=1,"Dec",IF(Calculations!B62=2,"Jan",IF(Calculations!B62=3,"Feb",IF(Calculations!B62=4,"Mar",IF(Calculations!B62=5,"Apr",IF(Calculations!B62=6,"May",IF(Calculations!B62=7,"Jun",IF(Calculations!B62=8,"Jul",IF(Calculations!B62=9,"Aug",IF(Calculations!B62=10,"Sep",IF(Calculations!B62=11,"Oct",IF(Calculations!B62=12,"Nov")))))))))))),"")</f>
        <v/>
      </c>
      <c r="O34" s="463"/>
      <c r="P34" s="463"/>
      <c r="Q34" s="464"/>
      <c r="R34" s="464"/>
      <c r="S34" s="464"/>
      <c r="T34" s="464"/>
      <c r="U34" s="464"/>
      <c r="V34" s="464"/>
      <c r="W34" s="464"/>
      <c r="X34" s="464"/>
      <c r="Y34" s="465"/>
      <c r="Z34" s="334"/>
      <c r="AA34" s="88"/>
      <c r="AB34" s="20"/>
      <c r="AC34" s="5"/>
      <c r="AD34" s="5"/>
      <c r="AE34" s="85"/>
      <c r="AF34" s="5"/>
      <c r="AG34" s="86"/>
      <c r="AH34" s="5"/>
      <c r="AI34" s="3"/>
      <c r="AJ34" s="5"/>
      <c r="AK34" s="24"/>
      <c r="AL34" s="5"/>
      <c r="AM34" s="8"/>
      <c r="AN34" s="5"/>
      <c r="AO34" s="8"/>
      <c r="AP34" s="5"/>
      <c r="AQ34" s="3"/>
      <c r="AR34" s="5"/>
      <c r="AS34" s="6"/>
      <c r="AT34" s="5"/>
      <c r="AV34" s="18"/>
    </row>
    <row r="35" spans="1:48" ht="20" hidden="1" customHeight="1">
      <c r="A35" s="32"/>
      <c r="B35" s="15"/>
      <c r="D35" s="110"/>
      <c r="E35" s="319"/>
      <c r="F35" s="320"/>
      <c r="G35" s="320"/>
      <c r="H35" s="856" t="s">
        <v>51</v>
      </c>
      <c r="I35" s="194"/>
      <c r="J35" s="195"/>
      <c r="K35" s="860"/>
      <c r="L35" s="192">
        <f>I35*J35*K35/100</f>
        <v>0</v>
      </c>
      <c r="M35" s="864">
        <f>SUM(N35:Y35)</f>
        <v>0</v>
      </c>
      <c r="N35" s="865">
        <f>$L35*31</f>
        <v>0</v>
      </c>
      <c r="O35" s="192">
        <f>$L35*28</f>
        <v>0</v>
      </c>
      <c r="P35" s="192">
        <f>$L35*30</f>
        <v>0</v>
      </c>
      <c r="Q35" s="192">
        <f>$L35*30</f>
        <v>0</v>
      </c>
      <c r="R35" s="192">
        <f>$L35*31</f>
        <v>0</v>
      </c>
      <c r="S35" s="192">
        <f>$L35*30</f>
        <v>0</v>
      </c>
      <c r="T35" s="192">
        <f>$L35*31</f>
        <v>0</v>
      </c>
      <c r="U35" s="192">
        <f>$L35*31</f>
        <v>0</v>
      </c>
      <c r="V35" s="192">
        <f>$L35*30</f>
        <v>0</v>
      </c>
      <c r="W35" s="192">
        <f>$L35*31</f>
        <v>0</v>
      </c>
      <c r="X35" s="192">
        <f>$L35*30</f>
        <v>0</v>
      </c>
      <c r="Y35" s="192">
        <f>$L35*31</f>
        <v>0</v>
      </c>
      <c r="Z35" s="334"/>
      <c r="AA35" s="5"/>
      <c r="AC35" s="5"/>
      <c r="AD35" s="5"/>
      <c r="AE35" s="85"/>
      <c r="AF35" s="5"/>
      <c r="AG35" s="86"/>
      <c r="AH35" s="5"/>
      <c r="AI35" s="3"/>
      <c r="AJ35" s="5"/>
      <c r="AK35" s="24"/>
      <c r="AL35" s="5"/>
      <c r="AM35" s="8"/>
      <c r="AN35" s="5"/>
      <c r="AO35" s="8"/>
      <c r="AP35" s="5"/>
      <c r="AQ35" s="3"/>
      <c r="AR35" s="5"/>
      <c r="AS35" s="6"/>
      <c r="AT35" s="5"/>
      <c r="AV35" s="18"/>
    </row>
    <row r="36" spans="1:48" ht="15" hidden="1" customHeight="1">
      <c r="A36" s="32"/>
      <c r="B36" s="15"/>
      <c r="D36" s="110"/>
      <c r="E36" s="319"/>
      <c r="F36" s="320"/>
      <c r="G36" s="320"/>
      <c r="H36" s="1972" t="str">
        <f>IF(Calculations!B99=TRUE, "Selected Management = Grazing System all Year",IF(Calculations!B100=TRUE,"Selected Management = Alternative Pasture from:",IF(Calculations!B101=TRUE,"Selected Management = Dry Lot from:")))</f>
        <v>Selected Management = Grazing System all Year</v>
      </c>
      <c r="I36" s="1973"/>
      <c r="J36" s="545" t="str">
        <f>IF(OR(Calculations!B100=TRUE,Calculations!B101=TRUE),IF(Calculations!B102=1,"Jan -",IF(Calculations!B102=2,"Feb -",IF(Calculations!B102=3,"Mar -",IF(Calculations!B102=4,"Apr -",IF(Calculations!B102=5,"May -",IF(Calculations!B102=6,"Jun -",IF(Calculations!B102=7,"Jul -",IF(Calculations!B102=8,"Aug -",IF(Calculations!B102=9,"Sep -",IF(Calculations!B102=10,"Oct -",IF(Calculations!B102=11,"Nov -",IF(Calculations!B102=12,"Dec -")))))))))))),"")</f>
        <v/>
      </c>
      <c r="K36" s="551" t="str">
        <f>IF(OR(Calculations!B100=TRUE,Calculations!B101=TRUE),IF(Calculations!B103=1,"Jan",IF(Calculations!B103=2,"Feb",IF(Calculations!B103=3,"Mar",IF(Calculations!B103=4,"Apr",IF(Calculations!B103=5,"May",IF(Calculations!B103=6,"Jun",IF(Calculations!B103=7,"Jul",IF(Calculations!B103=8,"Aug",IF(Calculations!B103=9,"Sep",IF(Calculations!B103=10,"Oct",IF(Calculations!B103=11,"Nov",IF(Calculations!B103=12,"Dec")))))))))))),"")</f>
        <v/>
      </c>
      <c r="L36" s="947"/>
      <c r="M36" s="468"/>
      <c r="N36" s="464"/>
      <c r="O36" s="464"/>
      <c r="P36" s="464"/>
      <c r="Q36" s="464"/>
      <c r="R36" s="464"/>
      <c r="S36" s="464"/>
      <c r="T36" s="464"/>
      <c r="U36" s="464"/>
      <c r="V36" s="464"/>
      <c r="W36" s="464"/>
      <c r="X36" s="464"/>
      <c r="Y36" s="465"/>
      <c r="Z36" s="334"/>
      <c r="AA36" s="5"/>
      <c r="AC36" s="5"/>
      <c r="AD36" s="5"/>
      <c r="AE36" s="85"/>
      <c r="AF36" s="5"/>
      <c r="AG36" s="86"/>
      <c r="AH36" s="5"/>
      <c r="AI36" s="3"/>
      <c r="AJ36" s="5"/>
      <c r="AK36" s="24"/>
      <c r="AL36" s="5"/>
      <c r="AM36" s="8"/>
      <c r="AN36" s="5"/>
      <c r="AO36" s="8"/>
      <c r="AP36" s="5"/>
      <c r="AQ36" s="3"/>
      <c r="AR36" s="5"/>
      <c r="AS36" s="6"/>
      <c r="AT36" s="5"/>
      <c r="AV36" s="18"/>
    </row>
    <row r="37" spans="1:48" ht="20" hidden="1" customHeight="1">
      <c r="A37" s="32"/>
      <c r="B37" s="15"/>
      <c r="D37" s="110"/>
      <c r="E37" s="319"/>
      <c r="F37" s="320"/>
      <c r="G37" s="320"/>
      <c r="H37" s="856" t="s">
        <v>53</v>
      </c>
      <c r="I37" s="194"/>
      <c r="J37" s="195"/>
      <c r="K37" s="860"/>
      <c r="L37" s="192">
        <f>I37*J37*K37/100</f>
        <v>0</v>
      </c>
      <c r="M37" s="864">
        <f>SUM(N37:Y37)</f>
        <v>0</v>
      </c>
      <c r="N37" s="865">
        <f>$L37*31</f>
        <v>0</v>
      </c>
      <c r="O37" s="192">
        <f>$L37*28</f>
        <v>0</v>
      </c>
      <c r="P37" s="192">
        <f>$L37*30</f>
        <v>0</v>
      </c>
      <c r="Q37" s="192">
        <f>$L37*30</f>
        <v>0</v>
      </c>
      <c r="R37" s="192">
        <f>$L37*31</f>
        <v>0</v>
      </c>
      <c r="S37" s="192">
        <f>$L37*30</f>
        <v>0</v>
      </c>
      <c r="T37" s="192">
        <f>$L37*31</f>
        <v>0</v>
      </c>
      <c r="U37" s="192">
        <f>$L37*31</f>
        <v>0</v>
      </c>
      <c r="V37" s="192">
        <f>$L37*30</f>
        <v>0</v>
      </c>
      <c r="W37" s="192">
        <f>$L37*31</f>
        <v>0</v>
      </c>
      <c r="X37" s="192">
        <f>$L37*30</f>
        <v>0</v>
      </c>
      <c r="Y37" s="192">
        <f>$L37*31</f>
        <v>0</v>
      </c>
      <c r="Z37" s="334"/>
      <c r="AA37" s="5"/>
      <c r="AB37" s="6"/>
      <c r="AC37" s="5"/>
      <c r="AD37" s="5"/>
      <c r="AE37" s="85"/>
      <c r="AF37" s="5"/>
      <c r="AG37" s="86"/>
      <c r="AH37" s="5"/>
      <c r="AI37" s="3"/>
      <c r="AJ37" s="5"/>
      <c r="AK37" s="24"/>
      <c r="AL37" s="5"/>
      <c r="AM37" s="8"/>
      <c r="AN37" s="5"/>
      <c r="AO37" s="8"/>
      <c r="AP37" s="5"/>
      <c r="AQ37" s="3"/>
      <c r="AR37" s="5"/>
      <c r="AS37" s="6"/>
      <c r="AT37" s="5"/>
      <c r="AV37" s="18"/>
    </row>
    <row r="38" spans="1:48" ht="15" hidden="1" customHeight="1">
      <c r="A38" s="32"/>
      <c r="B38" s="15"/>
      <c r="D38" s="110"/>
      <c r="E38" s="319"/>
      <c r="F38" s="320"/>
      <c r="G38" s="320"/>
      <c r="H38" s="474"/>
      <c r="I38" s="467"/>
      <c r="J38" s="468"/>
      <c r="K38" s="469"/>
      <c r="L38" s="464"/>
      <c r="M38" s="464"/>
      <c r="N38" s="464"/>
      <c r="O38" s="464"/>
      <c r="P38" s="464"/>
      <c r="Q38" s="464"/>
      <c r="R38" s="464"/>
      <c r="S38" s="464"/>
      <c r="T38" s="464"/>
      <c r="U38" s="464"/>
      <c r="V38" s="464"/>
      <c r="W38" s="464"/>
      <c r="X38" s="464"/>
      <c r="Y38" s="465"/>
      <c r="Z38" s="334"/>
      <c r="AA38" s="5"/>
      <c r="AB38" s="6"/>
      <c r="AC38" s="5"/>
      <c r="AD38" s="5"/>
      <c r="AE38" s="85"/>
      <c r="AF38" s="5"/>
      <c r="AG38" s="86"/>
      <c r="AH38" s="5"/>
      <c r="AI38" s="3"/>
      <c r="AJ38" s="5"/>
      <c r="AK38" s="24"/>
      <c r="AL38" s="5"/>
      <c r="AM38" s="8"/>
      <c r="AN38" s="5"/>
      <c r="AO38" s="8"/>
      <c r="AP38" s="5"/>
      <c r="AQ38" s="3"/>
      <c r="AR38" s="5"/>
      <c r="AS38" s="6"/>
      <c r="AT38" s="5"/>
      <c r="AV38" s="18"/>
    </row>
    <row r="39" spans="1:48" ht="20" hidden="1" customHeight="1">
      <c r="A39" s="32"/>
      <c r="B39" s="15"/>
      <c r="D39" s="110"/>
      <c r="E39" s="319"/>
      <c r="F39" s="320"/>
      <c r="G39" s="326"/>
      <c r="H39" s="856" t="s">
        <v>54</v>
      </c>
      <c r="I39" s="194"/>
      <c r="J39" s="195"/>
      <c r="K39" s="860"/>
      <c r="L39" s="192">
        <f>I39*J39*K39/100</f>
        <v>0</v>
      </c>
      <c r="M39" s="864">
        <f>SUM(N39:Y39)</f>
        <v>0</v>
      </c>
      <c r="N39" s="865">
        <f>$L39*31</f>
        <v>0</v>
      </c>
      <c r="O39" s="192">
        <f>$L39*28</f>
        <v>0</v>
      </c>
      <c r="P39" s="192">
        <f>$L39*30</f>
        <v>0</v>
      </c>
      <c r="Q39" s="192">
        <f>$L39*30</f>
        <v>0</v>
      </c>
      <c r="R39" s="192">
        <f>$L39*31</f>
        <v>0</v>
      </c>
      <c r="S39" s="192">
        <f>$L39*30</f>
        <v>0</v>
      </c>
      <c r="T39" s="192">
        <f>$L39*31</f>
        <v>0</v>
      </c>
      <c r="U39" s="192">
        <f>$L39*31</f>
        <v>0</v>
      </c>
      <c r="V39" s="192">
        <f>$L39*30</f>
        <v>0</v>
      </c>
      <c r="W39" s="192">
        <f>$L39*31</f>
        <v>0</v>
      </c>
      <c r="X39" s="192">
        <f>$L39*30</f>
        <v>0</v>
      </c>
      <c r="Y39" s="192">
        <f>$L39*31</f>
        <v>0</v>
      </c>
      <c r="Z39" s="334"/>
      <c r="AC39" s="5"/>
      <c r="AD39" s="5"/>
      <c r="AE39" s="85"/>
      <c r="AF39" s="5"/>
      <c r="AG39" s="86"/>
      <c r="AH39" s="5"/>
      <c r="AI39" s="3"/>
      <c r="AJ39" s="5"/>
      <c r="AK39" s="24"/>
      <c r="AL39" s="5"/>
      <c r="AM39" s="8"/>
      <c r="AN39" s="5"/>
      <c r="AO39" s="8"/>
      <c r="AP39" s="5"/>
      <c r="AQ39" s="3"/>
      <c r="AR39" s="5"/>
      <c r="AS39" s="6"/>
      <c r="AT39" s="5"/>
      <c r="AV39" s="18"/>
    </row>
    <row r="40" spans="1:48" ht="15" hidden="1" customHeight="1">
      <c r="A40" s="32"/>
      <c r="B40" s="15"/>
      <c r="D40" s="110"/>
      <c r="E40" s="319"/>
      <c r="F40" s="320"/>
      <c r="G40" s="320"/>
      <c r="H40" s="475"/>
      <c r="I40" s="476"/>
      <c r="J40" s="476"/>
      <c r="K40" s="476"/>
      <c r="L40" s="476"/>
      <c r="M40" s="476"/>
      <c r="N40" s="476"/>
      <c r="O40" s="476"/>
      <c r="P40" s="476"/>
      <c r="Q40" s="476"/>
      <c r="R40" s="476"/>
      <c r="S40" s="476"/>
      <c r="T40" s="476"/>
      <c r="U40" s="476"/>
      <c r="V40" s="476"/>
      <c r="W40" s="476"/>
      <c r="X40" s="476"/>
      <c r="Y40" s="477"/>
      <c r="Z40" s="334"/>
      <c r="AA40" s="20"/>
      <c r="AB40" s="20"/>
      <c r="AC40" s="90"/>
      <c r="AD40" s="5"/>
      <c r="AE40" s="85"/>
      <c r="AF40" s="5"/>
      <c r="AG40" s="86"/>
      <c r="AH40" s="5"/>
      <c r="AI40" s="3"/>
      <c r="AJ40" s="5"/>
      <c r="AK40" s="24"/>
      <c r="AL40" s="5"/>
      <c r="AM40" s="8"/>
      <c r="AN40" s="5"/>
      <c r="AO40" s="8"/>
      <c r="AP40" s="5"/>
      <c r="AQ40" s="3"/>
      <c r="AR40" s="5"/>
      <c r="AS40" s="6"/>
      <c r="AT40" s="5"/>
      <c r="AU40" s="3"/>
      <c r="AV40" s="18"/>
    </row>
    <row r="41" spans="1:48" ht="20.25" customHeight="1">
      <c r="A41" s="32"/>
      <c r="B41" s="15"/>
      <c r="D41" s="110"/>
      <c r="E41" s="319"/>
      <c r="F41" s="320"/>
      <c r="G41" s="320"/>
      <c r="H41" s="871" t="s">
        <v>291</v>
      </c>
      <c r="I41" s="871">
        <f>SUBTOTAL(109,I15:I39)</f>
        <v>0</v>
      </c>
      <c r="J41" s="872">
        <f>Calculations!B127</f>
        <v>0</v>
      </c>
      <c r="K41" s="873">
        <f>IF(Calculations!B125=0,0,L41/Calculations!B125*100)</f>
        <v>0</v>
      </c>
      <c r="L41" s="872">
        <f>IF(SeasonalDairyCheck=FALSE,SUBTOTAL(109,L15:L39),SUBTOTAL(109,L15:L23)+SUBTOTAL(109,L29:L39)+SUBTOTAL(101,L26:L27))</f>
        <v>0</v>
      </c>
      <c r="M41" s="874">
        <f>SUM(N41:Y41)</f>
        <v>0</v>
      </c>
      <c r="N41" s="161">
        <f>SUBTOTAL(109,N15:N39)</f>
        <v>0</v>
      </c>
      <c r="O41" s="872">
        <f t="shared" ref="O41:Y41" si="0">SUBTOTAL(109,O15:O39)</f>
        <v>0</v>
      </c>
      <c r="P41" s="872">
        <f t="shared" si="0"/>
        <v>0</v>
      </c>
      <c r="Q41" s="872">
        <f t="shared" si="0"/>
        <v>0</v>
      </c>
      <c r="R41" s="872">
        <f t="shared" si="0"/>
        <v>0</v>
      </c>
      <c r="S41" s="872">
        <f t="shared" si="0"/>
        <v>0</v>
      </c>
      <c r="T41" s="872">
        <f t="shared" si="0"/>
        <v>0</v>
      </c>
      <c r="U41" s="872">
        <f t="shared" si="0"/>
        <v>0</v>
      </c>
      <c r="V41" s="872">
        <f t="shared" si="0"/>
        <v>0</v>
      </c>
      <c r="W41" s="872">
        <f t="shared" si="0"/>
        <v>0</v>
      </c>
      <c r="X41" s="872">
        <f t="shared" si="0"/>
        <v>0</v>
      </c>
      <c r="Y41" s="872">
        <f t="shared" si="0"/>
        <v>0</v>
      </c>
      <c r="Z41" s="334"/>
      <c r="AD41" s="5"/>
      <c r="AE41" s="85"/>
      <c r="AF41" s="5"/>
      <c r="AG41" s="86"/>
      <c r="AH41" s="5"/>
      <c r="AI41" s="3"/>
      <c r="AJ41" s="5"/>
      <c r="AK41" s="24"/>
      <c r="AL41" s="5"/>
      <c r="AM41" s="8"/>
      <c r="AN41" s="5"/>
      <c r="AO41" s="8"/>
      <c r="AP41" s="5"/>
      <c r="AQ41" s="3"/>
      <c r="AR41" s="5"/>
      <c r="AS41" s="6"/>
      <c r="AT41" s="5"/>
      <c r="AU41" s="3"/>
      <c r="AV41" s="18"/>
    </row>
    <row r="42" spans="1:48" ht="20.25" customHeight="1">
      <c r="A42" s="32"/>
      <c r="B42" s="15"/>
      <c r="D42" s="110"/>
      <c r="E42" s="327"/>
      <c r="F42" s="328"/>
      <c r="G42" s="320"/>
      <c r="H42" s="338"/>
      <c r="I42" s="1945"/>
      <c r="J42" s="1945"/>
      <c r="K42" s="339"/>
      <c r="L42" s="332"/>
      <c r="M42" s="332"/>
      <c r="N42" s="332"/>
      <c r="O42" s="332"/>
      <c r="P42" s="332"/>
      <c r="Q42" s="332"/>
      <c r="R42" s="332"/>
      <c r="S42" s="332"/>
      <c r="T42" s="332"/>
      <c r="U42" s="332"/>
      <c r="V42" s="332"/>
      <c r="W42" s="332"/>
      <c r="X42" s="332"/>
      <c r="Y42" s="332"/>
      <c r="Z42" s="334"/>
      <c r="AD42" s="5"/>
      <c r="AE42" s="85"/>
      <c r="AF42" s="5"/>
      <c r="AG42" s="86"/>
      <c r="AH42" s="5"/>
      <c r="AI42" s="3"/>
      <c r="AJ42" s="5"/>
      <c r="AK42" s="24"/>
      <c r="AL42" s="5"/>
      <c r="AM42" s="8"/>
      <c r="AN42" s="5"/>
      <c r="AO42" s="8"/>
      <c r="AP42" s="5"/>
      <c r="AQ42" s="3"/>
      <c r="AR42" s="5"/>
      <c r="AS42" s="6"/>
      <c r="AT42" s="5"/>
      <c r="AU42" s="3"/>
      <c r="AV42" s="18"/>
    </row>
    <row r="43" spans="1:48" ht="14.25" hidden="1" customHeight="1">
      <c r="A43" s="32"/>
      <c r="B43" s="15"/>
      <c r="D43" s="110"/>
      <c r="E43" s="319"/>
      <c r="F43" s="320"/>
      <c r="G43" s="320"/>
      <c r="H43" s="1922" t="s">
        <v>306</v>
      </c>
      <c r="I43" s="1922"/>
      <c r="J43" s="1922"/>
      <c r="K43" s="1922"/>
      <c r="L43" s="1922"/>
      <c r="M43" s="1922"/>
      <c r="N43" s="151" t="str">
        <f>IF(Calculations!G45=TRUE,"P",IF(Calculations!$D$45&lt;Calculations!$D$46,(IF(Calculations!$D$45&lt;=1,(IF(Calculations!$D$46&gt;=1,"P","A")),"A")),IF(Calculations!$D$46&gt;=1,"P",IF(Calculations!$D$45&lt;=1,"P","A"))))</f>
        <v>P</v>
      </c>
      <c r="O43" s="151" t="str">
        <f>IF(Calculations!G45=TRUE,"P",IF(Calculations!$D$45&lt;Calculations!$D$46,(IF(Calculations!$D$45&lt;=2,(IF(Calculations!$D$46&gt;=2,"P","A")),"A")),IF(Calculations!$D$46&gt;=2,"P",IF(Calculations!$D$45&lt;=2,"P","A"))))</f>
        <v>P</v>
      </c>
      <c r="P43" s="151" t="str">
        <f>IF(Calculations!G45=TRUE,"P",IF(Calculations!$D$45&lt;Calculations!$D$46,(IF(Calculations!$D$45&lt;=3,(IF(Calculations!$D$46&gt;=3,"P","A")),"A")),IF(Calculations!$D$46&gt;=3,"P",IF(Calculations!$D$45&lt;=3,"P","A"))))</f>
        <v>P</v>
      </c>
      <c r="Q43" s="151" t="str">
        <f>IF(Calculations!G45=TRUE,"P",IF(Calculations!$D$45&lt;Calculations!$D$46,(IF(Calculations!$D$45&lt;=4,(IF(Calculations!$D$46&gt;=4,"P","A")),"A")),IF(Calculations!$D$46&gt;=4,"P",IF(Calculations!$D$45&lt;=4,"P","A"))))</f>
        <v>P</v>
      </c>
      <c r="R43" s="151" t="str">
        <f>IF(Calculations!G45=TRUE,"P",IF(Calculations!$D$45&lt;Calculations!$D$46,(IF(Calculations!$D$45&lt;=5,(IF(Calculations!$D$46&gt;=5,"P","A")),"A")),IF(Calculations!$D$46&gt;=5,"P",IF(Calculations!$D$45&lt;=5,"P","A"))))</f>
        <v>P</v>
      </c>
      <c r="S43" s="151" t="str">
        <f>IF(Calculations!G45=TRUE,"P",IF(Calculations!$D$45&lt;Calculations!$D$46,(IF(Calculations!$D$45&lt;=6,(IF(Calculations!$D$46&gt;=6,"P","A")),"A")),IF(Calculations!$D$46&gt;=6,"P",IF(Calculations!$D$45&lt;=6,"P","A"))))</f>
        <v>P</v>
      </c>
      <c r="T43" s="151" t="str">
        <f>IF(Calculations!G45=TRUE,"P",IF(Calculations!$D$45&lt;Calculations!$D$46,(IF(Calculations!$D$45&lt;=7,(IF(Calculations!$D$46&gt;=7,"P","A")),"A")),IF(Calculations!$D$46&gt;=7,"P",IF(Calculations!$D$45&lt;=7,"P","A"))))</f>
        <v>P</v>
      </c>
      <c r="U43" s="151" t="str">
        <f>IF(Calculations!G45=TRUE,"P",IF(Calculations!$D$45&lt;Calculations!$D$46,(IF(Calculations!$D$45&lt;=8,(IF(Calculations!$D$46&gt;=8,"P","A")),"A")),IF(Calculations!$D$46&gt;=8,"P",IF(Calculations!$D$45&lt;=8,"P","A"))))</f>
        <v>P</v>
      </c>
      <c r="V43" s="151" t="str">
        <f>IF(Calculations!G45=TRUE,"P",IF(Calculations!$D$45&lt;Calculations!$D$46,(IF(Calculations!$D$45&lt;=9,(IF(Calculations!$D$46&gt;=9,"P","A")),"A")),IF(Calculations!$D$46&gt;=9,"P",IF(Calculations!$D$45&lt;=9,"P","A"))))</f>
        <v>P</v>
      </c>
      <c r="W43" s="151" t="str">
        <f>IF(Calculations!G45=TRUE,"P",IF(Calculations!$D$45&lt;Calculations!$D$46,(IF(Calculations!$D$45&lt;=10,(IF(Calculations!$D$46&gt;=10,"P","A")),"A")),IF(Calculations!$D$46&gt;=10,"P",IF(Calculations!$D$45&lt;=10,"P","A"))))</f>
        <v>P</v>
      </c>
      <c r="X43" s="151" t="str">
        <f>IF(Calculations!G45=TRUE,"P",IF(Calculations!$D$45&lt;Calculations!$D$46,(IF(Calculations!$D$45&lt;=11,(IF(Calculations!$D$46&gt;=11,"P","A")),"A")),IF(Calculations!$D$46&gt;=11,"P",IF(Calculations!$D$45&lt;=11,"P","A"))))</f>
        <v>P</v>
      </c>
      <c r="Y43" s="151" t="str">
        <f>IF(Calculations!G45=TRUE,"P",IF(Calculations!$D$45&lt;Calculations!$D$46,(IF(Calculations!$D$45&lt;=12,(IF(Calculations!$D$46&gt;=12,"P","A")),"A")),IF(Calculations!$D$46&gt;=12,"P",IF(Calculations!$D$45&lt;=12,"P","A"))))</f>
        <v>P</v>
      </c>
      <c r="Z43" s="334"/>
      <c r="AD43" s="5"/>
      <c r="AE43" s="85"/>
      <c r="AF43" s="5"/>
      <c r="AG43" s="86"/>
      <c r="AH43" s="5"/>
      <c r="AI43" s="3"/>
      <c r="AJ43" s="5"/>
      <c r="AK43" s="24"/>
      <c r="AL43" s="5"/>
      <c r="AM43" s="8"/>
      <c r="AN43" s="5"/>
      <c r="AO43" s="8"/>
      <c r="AP43" s="5"/>
      <c r="AQ43" s="3"/>
      <c r="AR43" s="5"/>
      <c r="AS43" s="6"/>
      <c r="AT43" s="5"/>
      <c r="AU43" s="3"/>
      <c r="AV43" s="18"/>
    </row>
    <row r="44" spans="1:48" ht="14.25" hidden="1" customHeight="1">
      <c r="A44" s="32"/>
      <c r="B44" s="15"/>
      <c r="D44" s="110"/>
      <c r="E44" s="319"/>
      <c r="F44" s="320"/>
      <c r="G44" s="320"/>
      <c r="H44" s="1915" t="s">
        <v>331</v>
      </c>
      <c r="I44" s="1915"/>
      <c r="J44" s="1915"/>
      <c r="K44" s="1915"/>
      <c r="L44" s="1915"/>
      <c r="M44" s="1915"/>
      <c r="N44" s="151">
        <f>IF(Calculations!$L$44=TRUE,IF(N43="P",Q25,0),0)</f>
        <v>0</v>
      </c>
      <c r="O44" s="151">
        <f>IF(Calculations!$L$44=TRUE,IF(O43="P",R25,0),0)</f>
        <v>0</v>
      </c>
      <c r="P44" s="151">
        <f>IF(Calculations!$L$44=TRUE,IF(P43="P",S25,0),0)</f>
        <v>0</v>
      </c>
      <c r="Q44" s="151">
        <f>IF(Calculations!$L$44=TRUE,IF(Q43="P",T25,0),0)</f>
        <v>0</v>
      </c>
      <c r="R44" s="151">
        <f>IF(Calculations!$L$44=TRUE,IF(R43="P",U25,0),0)</f>
        <v>0</v>
      </c>
      <c r="S44" s="151">
        <f>IF(Calculations!$L$44=TRUE,IF(S43="P",V25,0),0)</f>
        <v>0</v>
      </c>
      <c r="T44" s="151">
        <f>IF(Calculations!$L$44=TRUE,IF(T43="P",W25,0),0)</f>
        <v>0</v>
      </c>
      <c r="U44" s="151">
        <f>IF(Calculations!$L$44=TRUE,IF(U43="P",X25,0),0)</f>
        <v>0</v>
      </c>
      <c r="V44" s="151">
        <f>IF(Calculations!$L$44=TRUE,IF(V43="P",Y25,0),0)</f>
        <v>0</v>
      </c>
      <c r="W44" s="151">
        <f>IF(Calculations!$L$44=TRUE,IF(W43="P",N25,0),0)</f>
        <v>0</v>
      </c>
      <c r="X44" s="151">
        <f>IF(Calculations!$L$44=TRUE,IF(X43="P",O25,0),0)</f>
        <v>0</v>
      </c>
      <c r="Y44" s="151">
        <f>IF(Calculations!$L$44=TRUE,IF(Y43="P",P25,0),0)</f>
        <v>0</v>
      </c>
      <c r="Z44" s="334"/>
      <c r="AD44" s="5"/>
      <c r="AE44" s="85"/>
      <c r="AF44" s="5"/>
      <c r="AG44" s="86"/>
      <c r="AH44" s="5"/>
      <c r="AI44" s="3"/>
      <c r="AJ44" s="5"/>
      <c r="AK44" s="24"/>
      <c r="AL44" s="5"/>
      <c r="AM44" s="8"/>
      <c r="AN44" s="5"/>
      <c r="AO44" s="8"/>
      <c r="AP44" s="5"/>
      <c r="AQ44" s="3"/>
      <c r="AR44" s="5"/>
      <c r="AS44" s="6"/>
      <c r="AT44" s="5"/>
      <c r="AU44" s="3"/>
      <c r="AV44" s="18"/>
    </row>
    <row r="45" spans="1:48" ht="14.25" hidden="1" customHeight="1">
      <c r="A45" s="32"/>
      <c r="B45" s="15"/>
      <c r="D45" s="110"/>
      <c r="E45" s="319"/>
      <c r="F45" s="320"/>
      <c r="G45" s="320"/>
      <c r="H45" s="1915" t="s">
        <v>351</v>
      </c>
      <c r="I45" s="1915"/>
      <c r="J45" s="1915"/>
      <c r="K45" s="1915"/>
      <c r="L45" s="1915"/>
      <c r="M45" s="1915"/>
      <c r="N45" s="151">
        <f>IF(Calculations!$L$44=TRUE,IF(AND(N43="A",Calculations!$H$45=TRUE),Q25,0),0)</f>
        <v>0</v>
      </c>
      <c r="O45" s="151">
        <f>IF(Calculations!$L$44=TRUE,IF(AND(O43="A",Calculations!$H$45=TRUE),R25,0),0)</f>
        <v>0</v>
      </c>
      <c r="P45" s="151">
        <f>IF(Calculations!$L$44=TRUE,IF(AND(P43="A",Calculations!$H$45=TRUE),S25,0),0)</f>
        <v>0</v>
      </c>
      <c r="Q45" s="151">
        <f>IF(Calculations!$L$44=TRUE,IF(AND(Q43="A",Calculations!$H$45=TRUE),T25,0),0)</f>
        <v>0</v>
      </c>
      <c r="R45" s="151">
        <f>IF(Calculations!$L$44=TRUE,IF(AND(R43="A",Calculations!$H$45=TRUE),U25,0),0)</f>
        <v>0</v>
      </c>
      <c r="S45" s="151">
        <f>IF(Calculations!$L$44=TRUE,IF(AND(S43="A",Calculations!$H$45=TRUE),V25,0),0)</f>
        <v>0</v>
      </c>
      <c r="T45" s="151">
        <f>IF(Calculations!$L$44=TRUE,IF(AND(T43="A",Calculations!$H$45=TRUE),W25,0),0)</f>
        <v>0</v>
      </c>
      <c r="U45" s="151">
        <f>IF(Calculations!$L$44=TRUE,IF(AND(U43="A",Calculations!$H$45=TRUE),X25,0),0)</f>
        <v>0</v>
      </c>
      <c r="V45" s="151">
        <f>IF(Calculations!$L$44=TRUE,IF(AND(V43="A",Calculations!$H$45=TRUE),Y25,0),0)</f>
        <v>0</v>
      </c>
      <c r="W45" s="151">
        <f>IF(Calculations!$L$44=TRUE,IF(AND(W43="A",Calculations!$H$45=TRUE),N25,0),0)</f>
        <v>0</v>
      </c>
      <c r="X45" s="151">
        <f>IF(Calculations!$L$44=TRUE,IF(AND(X43="A",Calculations!$H$45=TRUE),O25,0),0)</f>
        <v>0</v>
      </c>
      <c r="Y45" s="151">
        <f>IF(Calculations!$L$44=TRUE,IF(AND(Y43="A",Calculations!$H$45=TRUE),P25,0),0)</f>
        <v>0</v>
      </c>
      <c r="Z45" s="334"/>
      <c r="AD45" s="5"/>
      <c r="AE45" s="85"/>
      <c r="AF45" s="5"/>
      <c r="AG45" s="86"/>
      <c r="AH45" s="5"/>
      <c r="AI45" s="3"/>
      <c r="AJ45" s="5"/>
      <c r="AK45" s="24"/>
      <c r="AL45" s="5"/>
      <c r="AM45" s="8"/>
      <c r="AN45" s="5"/>
      <c r="AO45" s="8"/>
      <c r="AP45" s="5"/>
      <c r="AQ45" s="3"/>
      <c r="AR45" s="5"/>
      <c r="AS45" s="6"/>
      <c r="AT45" s="5"/>
      <c r="AU45" s="3"/>
      <c r="AV45" s="18"/>
    </row>
    <row r="46" spans="1:48" ht="14.25" hidden="1" customHeight="1">
      <c r="A46" s="32"/>
      <c r="B46" s="15"/>
      <c r="D46" s="110"/>
      <c r="E46" s="319"/>
      <c r="F46" s="320"/>
      <c r="G46" s="320"/>
      <c r="H46" s="1915" t="s">
        <v>352</v>
      </c>
      <c r="I46" s="1915"/>
      <c r="J46" s="1915"/>
      <c r="K46" s="1915"/>
      <c r="L46" s="1915"/>
      <c r="M46" s="1915"/>
      <c r="N46" s="151">
        <f>IF(Calculations!$L$44=TRUE,IF(AND(N43="A",Calculations!$I$45=TRUE),Q25,0),0)</f>
        <v>0</v>
      </c>
      <c r="O46" s="151">
        <f>IF(Calculations!$L$44=TRUE,IF(AND(O43="A",Calculations!$I$45=TRUE),R25,0),0)</f>
        <v>0</v>
      </c>
      <c r="P46" s="151">
        <f>IF(Calculations!$L$44=TRUE,IF(AND(P43="A",Calculations!$I$45=TRUE),S25,0),0)</f>
        <v>0</v>
      </c>
      <c r="Q46" s="151">
        <f>IF(Calculations!$L$44=TRUE,IF(AND(Q43="A",Calculations!$I$45=TRUE),T25,0),0)</f>
        <v>0</v>
      </c>
      <c r="R46" s="151">
        <f>IF(Calculations!$L$44=TRUE,IF(AND(R43="A",Calculations!$I$45=TRUE),U25,0),0)</f>
        <v>0</v>
      </c>
      <c r="S46" s="151">
        <f>IF(Calculations!$L$44=TRUE,IF(AND(S43="A",Calculations!$I$45=TRUE),V25,0),0)</f>
        <v>0</v>
      </c>
      <c r="T46" s="151">
        <f>IF(Calculations!$L$44=TRUE,IF(AND(T43="A",Calculations!$I$45=TRUE),W25,0),0)</f>
        <v>0</v>
      </c>
      <c r="U46" s="151">
        <f>IF(Calculations!$L$44=TRUE,IF(AND(U43="A",Calculations!$I$45=TRUE),X25,0),0)</f>
        <v>0</v>
      </c>
      <c r="V46" s="151">
        <f>IF(Calculations!$L$44=TRUE,IF(AND(V43="A",Calculations!$I$45=TRUE),Y25,0),0)</f>
        <v>0</v>
      </c>
      <c r="W46" s="151">
        <f>IF(Calculations!$L$44=TRUE,IF(AND(W43="A",Calculations!$I$45=TRUE),N25,0),0)</f>
        <v>0</v>
      </c>
      <c r="X46" s="151">
        <f>IF(Calculations!$L$44=TRUE,IF(AND(X43="A",Calculations!$I$45=TRUE),O25,0),0)</f>
        <v>0</v>
      </c>
      <c r="Y46" s="151">
        <f>IF(Calculations!$L$44=TRUE,IF(AND(Y43="A",Calculations!$I$45=TRUE),P25,0),0)</f>
        <v>0</v>
      </c>
      <c r="Z46" s="334"/>
      <c r="AD46" s="5"/>
      <c r="AE46" s="85"/>
      <c r="AF46" s="5"/>
      <c r="AG46" s="86"/>
      <c r="AH46" s="5"/>
      <c r="AI46" s="3"/>
      <c r="AJ46" s="5"/>
      <c r="AK46" s="24"/>
      <c r="AL46" s="5"/>
      <c r="AM46" s="8"/>
      <c r="AN46" s="5"/>
      <c r="AO46" s="8"/>
      <c r="AP46" s="5"/>
      <c r="AQ46" s="3"/>
      <c r="AR46" s="5"/>
      <c r="AS46" s="6"/>
      <c r="AT46" s="5"/>
      <c r="AU46" s="3"/>
      <c r="AV46" s="18"/>
    </row>
    <row r="47" spans="1:48" ht="14.25" hidden="1" customHeight="1">
      <c r="A47" s="32"/>
      <c r="B47" s="15"/>
      <c r="D47" s="110"/>
      <c r="E47" s="319"/>
      <c r="F47" s="320"/>
      <c r="G47" s="320"/>
      <c r="H47" s="1915"/>
      <c r="I47" s="1915"/>
      <c r="J47" s="1915"/>
      <c r="K47" s="1915"/>
      <c r="L47" s="1915"/>
      <c r="M47" s="1915"/>
      <c r="N47" s="151"/>
      <c r="O47" s="151"/>
      <c r="P47" s="151"/>
      <c r="Q47" s="151"/>
      <c r="R47" s="151"/>
      <c r="S47" s="151"/>
      <c r="T47" s="151"/>
      <c r="U47" s="151"/>
      <c r="V47" s="151"/>
      <c r="W47" s="151"/>
      <c r="X47" s="151"/>
      <c r="Y47" s="151"/>
      <c r="Z47" s="334"/>
      <c r="AD47" s="5"/>
      <c r="AE47" s="85"/>
      <c r="AF47" s="5"/>
      <c r="AG47" s="86"/>
      <c r="AH47" s="5"/>
      <c r="AI47" s="3"/>
      <c r="AJ47" s="5"/>
      <c r="AK47" s="24"/>
      <c r="AL47" s="5"/>
      <c r="AM47" s="8"/>
      <c r="AN47" s="5"/>
      <c r="AO47" s="8"/>
      <c r="AP47" s="5"/>
      <c r="AQ47" s="3"/>
      <c r="AR47" s="5"/>
      <c r="AS47" s="6"/>
      <c r="AT47" s="5"/>
      <c r="AU47" s="3"/>
      <c r="AV47" s="18"/>
    </row>
    <row r="48" spans="1:48" ht="14.25" hidden="1" customHeight="1">
      <c r="A48" s="32"/>
      <c r="B48" s="15"/>
      <c r="D48" s="110"/>
      <c r="E48" s="319"/>
      <c r="F48" s="320"/>
      <c r="G48" s="320"/>
      <c r="H48" s="167"/>
      <c r="I48" s="167"/>
      <c r="J48" s="167"/>
      <c r="K48" s="167"/>
      <c r="L48" s="167"/>
      <c r="M48" s="169" t="s">
        <v>332</v>
      </c>
      <c r="N48" s="151"/>
      <c r="O48" s="151"/>
      <c r="P48" s="151"/>
      <c r="Q48" s="151"/>
      <c r="R48" s="151"/>
      <c r="S48" s="151"/>
      <c r="T48" s="151"/>
      <c r="U48" s="151"/>
      <c r="V48" s="151"/>
      <c r="W48" s="151"/>
      <c r="X48" s="151"/>
      <c r="Y48" s="151"/>
      <c r="Z48" s="334"/>
      <c r="AD48" s="5"/>
      <c r="AE48" s="85"/>
      <c r="AF48" s="5"/>
      <c r="AG48" s="86"/>
      <c r="AH48" s="5"/>
      <c r="AI48" s="3"/>
      <c r="AJ48" s="5"/>
      <c r="AK48" s="24"/>
      <c r="AL48" s="5"/>
      <c r="AM48" s="8"/>
      <c r="AN48" s="5"/>
      <c r="AO48" s="8"/>
      <c r="AP48" s="5"/>
      <c r="AQ48" s="3"/>
      <c r="AR48" s="5"/>
      <c r="AS48" s="6"/>
      <c r="AT48" s="5"/>
      <c r="AU48" s="3"/>
      <c r="AV48" s="18"/>
    </row>
    <row r="49" spans="1:48" ht="14.25" hidden="1" customHeight="1">
      <c r="A49" s="32"/>
      <c r="B49" s="15"/>
      <c r="D49" s="110"/>
      <c r="E49" s="319"/>
      <c r="F49" s="320"/>
      <c r="G49" s="320"/>
      <c r="H49" s="1915" t="s">
        <v>307</v>
      </c>
      <c r="I49" s="1915"/>
      <c r="J49" s="1915"/>
      <c r="K49" s="1915"/>
      <c r="L49" s="1915"/>
      <c r="M49" s="1915"/>
      <c r="N49" s="151" t="str">
        <f>IF(Calculations!G51=TRUE,"P",IF(Calculations!$D$50&lt;Calculations!$D$51,(IF(Calculations!$D$50&lt;=1,(IF(Calculations!$D$51&gt;=1,"A","P")),"P")),IF(Calculations!$D$51&gt;=1,"A",IF(Calculations!$D$50&lt;=1,"A","P"))))</f>
        <v>A</v>
      </c>
      <c r="O49" s="151" t="str">
        <f>IF(Calculations!G54=TRUE,"P",IF(Calculations!$D$50&lt;Calculations!$D$51,(IF(Calculations!$D$50&lt;=2,(IF(Calculations!$D$51&gt;=2,"A","P")),"P")),IF(Calculations!$D$51&gt;=2,"A",IF(Calculations!$D$50&lt;=2,"A","P"))))</f>
        <v>P</v>
      </c>
      <c r="P49" s="151" t="str">
        <f>IF(Calculations!G54=TRUE,"P",IF(Calculations!$D$50&lt;Calculations!$D$51,(IF(Calculations!$D$50&lt;=3,(IF(Calculations!$D$51&gt;=3,"A","P")),"P")),IF(Calculations!$D$51&gt;=3,"A",IF(Calculations!$D$50&lt;=3,"A","P"))))</f>
        <v>P</v>
      </c>
      <c r="Q49" s="151" t="str">
        <f>IF(Calculations!G54=TRUE,"P",IF(Calculations!$D$50&lt;Calculations!$D$51,(IF(Calculations!$D$50&lt;=4,(IF(Calculations!$D$51&gt;=4,"A","P")),"P")),IF(Calculations!$D$51&gt;=4,"A",IF(Calculations!$D$50&lt;=4,"A","P"))))</f>
        <v>P</v>
      </c>
      <c r="R49" s="151" t="str">
        <f>IF(Calculations!G54=TRUE,"P",IF(Calculations!$D$50&lt;Calculations!$D$51,(IF(Calculations!$D$50&lt;=5,(IF(Calculations!$D$51&gt;=5,"A","P")),"P")),IF(Calculations!$D$51&gt;=5,"A",IF(Calculations!$D$50&lt;=5,"A","P"))))</f>
        <v>P</v>
      </c>
      <c r="S49" s="151" t="str">
        <f>IF(Calculations!G54=TRUE,"P",IF(Calculations!$D$50&lt;Calculations!$D$51,(IF(Calculations!$D$50&lt;=6,(IF(Calculations!$D$51&gt;=6,"A","P")),"P")),IF(Calculations!$D$51&gt;=6,"A",IF(Calculations!$D$50&lt;=6,"A","P"))))</f>
        <v>P</v>
      </c>
      <c r="T49" s="151" t="str">
        <f>IF(Calculations!G54=TRUE,"P",IF(Calculations!$D$50&lt;Calculations!$D$51,(IF(Calculations!$D$50&lt;=7,(IF(Calculations!$D$51&gt;=7,"A","P")),"P")),IF(Calculations!$D$51&gt;=7,"A",IF(Calculations!$D$50&lt;=7,"A","P"))))</f>
        <v>P</v>
      </c>
      <c r="U49" s="151" t="str">
        <f>IF(Calculations!G54=TRUE,"P",IF(Calculations!$D$50&lt;Calculations!$D$51,(IF(Calculations!$D$50&lt;=8,(IF(Calculations!$D$51&gt;=8,"A","P")),"P")),IF(Calculations!$D$51&gt;=8,"A",IF(Calculations!$D$50&lt;=8,"A","P"))))</f>
        <v>P</v>
      </c>
      <c r="V49" s="151" t="str">
        <f>IF(Calculations!G54=TRUE,"P",IF(Calculations!$D$50&lt;Calculations!$D$51,(IF(Calculations!$D$50&lt;=9,(IF(Calculations!$D$51&gt;=9,"A","P")),"P")),IF(Calculations!$D$51&gt;=9,"A",IF(Calculations!$D$50&lt;=9,"A","P"))))</f>
        <v>P</v>
      </c>
      <c r="W49" s="151" t="str">
        <f>IF(Calculations!G54=TRUE,"P",IF(Calculations!$D$50&lt;Calculations!$D$51,(IF(Calculations!$D$50&lt;=10,(IF(Calculations!$D$51&gt;=10,"A","P")),"P")),IF(Calculations!$D$51&gt;=10,"A",IF(Calculations!$D$50&lt;=10,"A","P"))))</f>
        <v>P</v>
      </c>
      <c r="X49" s="151" t="str">
        <f>IF(Calculations!G54=TRUE,"P",IF(Calculations!$D$50&lt;Calculations!$D$51,(IF(Calculations!$D$50&lt;=11,(IF(Calculations!$D$51&gt;=11,"A","P")),"P")),IF(Calculations!$D$51&gt;=11,"A",IF(Calculations!$D$50&lt;=11,"A","P"))))</f>
        <v>P</v>
      </c>
      <c r="Y49" s="151" t="str">
        <f>IF(Calculations!G54=TRUE,"P",IF(Calculations!$D$50&lt;Calculations!$D$51,(IF(Calculations!$D$50&lt;=12,(IF(Calculations!$D$51&gt;=12,"A","P")),"P")),IF(Calculations!$D$51&gt;=12,"A",IF(Calculations!$D$50&lt;=12,"A","P"))))</f>
        <v>P</v>
      </c>
      <c r="Z49" s="334"/>
      <c r="AD49" s="5"/>
      <c r="AE49" s="85"/>
      <c r="AF49" s="5"/>
      <c r="AG49" s="86"/>
      <c r="AH49" s="5"/>
      <c r="AI49" s="3"/>
      <c r="AJ49" s="5"/>
      <c r="AK49" s="24"/>
      <c r="AL49" s="5"/>
      <c r="AM49" s="8"/>
      <c r="AN49" s="5"/>
      <c r="AO49" s="8"/>
      <c r="AP49" s="5"/>
      <c r="AQ49" s="3"/>
      <c r="AR49" s="5"/>
      <c r="AS49" s="6"/>
      <c r="AT49" s="5"/>
      <c r="AU49" s="3"/>
      <c r="AV49" s="18"/>
    </row>
    <row r="50" spans="1:48" ht="14.25" hidden="1" customHeight="1">
      <c r="A50" s="32"/>
      <c r="B50" s="15"/>
      <c r="D50" s="110"/>
      <c r="E50" s="319"/>
      <c r="F50" s="320"/>
      <c r="G50" s="320"/>
      <c r="H50" s="1915" t="s">
        <v>315</v>
      </c>
      <c r="I50" s="1915"/>
      <c r="J50" s="1915"/>
      <c r="K50" s="1915"/>
      <c r="L50" s="1915"/>
      <c r="M50" s="1915"/>
      <c r="N50" s="151">
        <f>IF(Calculations!$L$45=TRUE,IF(N49="P",N29,0),0)</f>
        <v>0</v>
      </c>
      <c r="O50" s="151">
        <f>IF(Calculations!$L$45=TRUE,IF(O49="P",O29,0),0)</f>
        <v>0</v>
      </c>
      <c r="P50" s="151">
        <f>IF(Calculations!$L$45=TRUE,IF(P49="P",P29,0),0)</f>
        <v>0</v>
      </c>
      <c r="Q50" s="151">
        <f>IF(Calculations!$L$45=TRUE,IF(Q49="P",Q29,0),0)</f>
        <v>0</v>
      </c>
      <c r="R50" s="151">
        <f>IF(Calculations!$L$45=TRUE,IF(R49="P",R29,0),0)</f>
        <v>0</v>
      </c>
      <c r="S50" s="151">
        <f>IF(Calculations!$L$45=TRUE,IF(S49="P",S29,0),0)</f>
        <v>0</v>
      </c>
      <c r="T50" s="151">
        <f>IF(Calculations!$L$45=TRUE,IF(T49="P",T29,0),0)</f>
        <v>0</v>
      </c>
      <c r="U50" s="151">
        <f>IF(Calculations!$L$45=TRUE,IF(U49="P",U29,0),0)</f>
        <v>0</v>
      </c>
      <c r="V50" s="151">
        <f>IF(Calculations!$L$45=TRUE,IF(V49="P",V29,0),0)</f>
        <v>0</v>
      </c>
      <c r="W50" s="151">
        <f>IF(Calculations!$L$45=TRUE,IF(W49="P",W29,0),0)</f>
        <v>0</v>
      </c>
      <c r="X50" s="151">
        <f>IF(Calculations!$L$45=TRUE,IF(X49="P",X29,0),0)</f>
        <v>0</v>
      </c>
      <c r="Y50" s="151">
        <f>IF(Calculations!$L$45=TRUE,IF(Y49="P",Y29,0),0)</f>
        <v>0</v>
      </c>
      <c r="Z50" s="334"/>
      <c r="AD50" s="5"/>
      <c r="AE50" s="85"/>
      <c r="AF50" s="5"/>
      <c r="AG50" s="86"/>
      <c r="AH50" s="5"/>
      <c r="AI50" s="3"/>
      <c r="AJ50" s="5"/>
      <c r="AK50" s="24"/>
      <c r="AL50" s="5"/>
      <c r="AM50" s="8"/>
      <c r="AN50" s="5"/>
      <c r="AO50" s="8"/>
      <c r="AP50" s="5"/>
      <c r="AQ50" s="3"/>
      <c r="AR50" s="5"/>
      <c r="AS50" s="6"/>
      <c r="AT50" s="5"/>
      <c r="AU50" s="3"/>
      <c r="AV50" s="18"/>
    </row>
    <row r="51" spans="1:48" ht="14.25" hidden="1" customHeight="1">
      <c r="A51" s="32"/>
      <c r="B51" s="15"/>
      <c r="D51" s="110"/>
      <c r="E51" s="319"/>
      <c r="F51" s="320"/>
      <c r="G51" s="320"/>
      <c r="H51" s="1915" t="s">
        <v>353</v>
      </c>
      <c r="I51" s="1915"/>
      <c r="J51" s="1915"/>
      <c r="K51" s="1915"/>
      <c r="L51" s="1915"/>
      <c r="M51" s="1915"/>
      <c r="N51" s="151">
        <f>IF(Calculations!$L$45=TRUE,IF(AND(N50="P",Calculations!$H$54=TRUE),N29,0),0)</f>
        <v>0</v>
      </c>
      <c r="O51" s="151">
        <f>IF(Calculations!$L$45=TRUE,IF(AND(O50="P",Calculations!$H$54=TRUE),O29,0),0)</f>
        <v>0</v>
      </c>
      <c r="P51" s="151">
        <f>IF(Calculations!$L$45=TRUE,IF(AND(P50="P",Calculations!$H$54=TRUE),P29,0),0)</f>
        <v>0</v>
      </c>
      <c r="Q51" s="151">
        <f>IF(Calculations!$L$45=TRUE,IF(AND(Q50="P",Calculations!$H$54=TRUE),Q29,0),0)</f>
        <v>0</v>
      </c>
      <c r="R51" s="151">
        <f>IF(Calculations!$L$45=TRUE,IF(AND(R50="P",Calculations!$H$54=TRUE),R29,0),0)</f>
        <v>0</v>
      </c>
      <c r="S51" s="151">
        <f>IF(Calculations!$L$45=TRUE,IF(AND(S50="P",Calculations!$H$54=TRUE),S29,0),0)</f>
        <v>0</v>
      </c>
      <c r="T51" s="151">
        <f>IF(Calculations!$L$45=TRUE,IF(AND(T50="P",Calculations!$H$54=TRUE),T29,0),0)</f>
        <v>0</v>
      </c>
      <c r="U51" s="151">
        <f>IF(Calculations!$L$45=TRUE,IF(AND(U50="P",Calculations!$H$54=TRUE),U29,0),0)</f>
        <v>0</v>
      </c>
      <c r="V51" s="151">
        <f>IF(Calculations!$L$45=TRUE,IF(AND(V50="P",Calculations!$H$54=TRUE),V29,0),0)</f>
        <v>0</v>
      </c>
      <c r="W51" s="151">
        <f>IF(Calculations!$L$45=TRUE,IF(AND(W50="P",Calculations!$H$54=TRUE),W29,0),0)</f>
        <v>0</v>
      </c>
      <c r="X51" s="151">
        <f>IF(Calculations!$L$45=TRUE,IF(AND(X50="P",Calculations!$H$54=TRUE),X29,0),0)</f>
        <v>0</v>
      </c>
      <c r="Y51" s="151">
        <f>IF(Calculations!$L$45=TRUE,IF(AND(Y50="P",Calculations!$H$54=TRUE),Y29,0),0)</f>
        <v>0</v>
      </c>
      <c r="Z51" s="334"/>
      <c r="AD51" s="5"/>
      <c r="AE51" s="85"/>
      <c r="AF51" s="5"/>
      <c r="AG51" s="86"/>
      <c r="AH51" s="5"/>
      <c r="AI51" s="3"/>
      <c r="AJ51" s="5"/>
      <c r="AK51" s="24"/>
      <c r="AL51" s="5"/>
      <c r="AM51" s="8"/>
      <c r="AN51" s="5"/>
      <c r="AO51" s="8"/>
      <c r="AP51" s="5"/>
      <c r="AQ51" s="3"/>
      <c r="AR51" s="5"/>
      <c r="AS51" s="6"/>
      <c r="AT51" s="5"/>
      <c r="AU51" s="3"/>
      <c r="AV51" s="18"/>
    </row>
    <row r="52" spans="1:48" ht="14.25" hidden="1" customHeight="1">
      <c r="A52" s="32"/>
      <c r="B52" s="15"/>
      <c r="D52" s="110"/>
      <c r="E52" s="319"/>
      <c r="F52" s="320"/>
      <c r="G52" s="320"/>
      <c r="H52" s="1915" t="s">
        <v>354</v>
      </c>
      <c r="I52" s="1915"/>
      <c r="J52" s="1915"/>
      <c r="K52" s="1915"/>
      <c r="L52" s="1915"/>
      <c r="M52" s="1915"/>
      <c r="N52" s="151">
        <f>IF(Calculations!$L$45=TRUE,IF(AND(N50="P",Calculations!$I$54=TRUE),N29,0),0)</f>
        <v>0</v>
      </c>
      <c r="O52" s="151">
        <f>IF(Calculations!$L$45=TRUE,IF(AND(O50="P",Calculations!$I$54=TRUE),O29,0),0)</f>
        <v>0</v>
      </c>
      <c r="P52" s="151">
        <f>IF(Calculations!$L$45=TRUE,IF(AND(P50="P",Calculations!$I$54=TRUE),P29,0),0)</f>
        <v>0</v>
      </c>
      <c r="Q52" s="151">
        <f>IF(Calculations!$L$45=TRUE,IF(AND(Q50="P",Calculations!$I$54=TRUE),Q29,0),0)</f>
        <v>0</v>
      </c>
      <c r="R52" s="151">
        <f>IF(Calculations!$L$45=TRUE,IF(AND(R50="P",Calculations!$I$54=TRUE),R29,0),0)</f>
        <v>0</v>
      </c>
      <c r="S52" s="151">
        <f>IF(Calculations!$L$45=TRUE,IF(AND(S50="P",Calculations!$I$54=TRUE),S29,0),0)</f>
        <v>0</v>
      </c>
      <c r="T52" s="151">
        <f>IF(Calculations!$L$45=TRUE,IF(AND(T50="P",Calculations!$I$54=TRUE),T29,0),0)</f>
        <v>0</v>
      </c>
      <c r="U52" s="151">
        <f>IF(Calculations!$L$45=TRUE,IF(AND(U50="P",Calculations!$I$54=TRUE),U29,0),0)</f>
        <v>0</v>
      </c>
      <c r="V52" s="151">
        <f>IF(Calculations!$L$45=TRUE,IF(AND(V50="P",Calculations!$I$54=TRUE),V29,0),0)</f>
        <v>0</v>
      </c>
      <c r="W52" s="151">
        <f>IF(Calculations!$L$45=TRUE,IF(AND(W50="P",Calculations!$I$54=TRUE),W29,0),0)</f>
        <v>0</v>
      </c>
      <c r="X52" s="151">
        <f>IF(Calculations!$L$45=TRUE,IF(AND(X50="P",Calculations!$I$54=TRUE),X29,0),0)</f>
        <v>0</v>
      </c>
      <c r="Y52" s="151">
        <f>IF(Calculations!$L$45=TRUE,IF(AND(Y50="P",Calculations!$I$54=TRUE),Y29,0),0)</f>
        <v>0</v>
      </c>
      <c r="Z52" s="334"/>
      <c r="AD52" s="5"/>
      <c r="AE52" s="85"/>
      <c r="AF52" s="5"/>
      <c r="AG52" s="86"/>
      <c r="AH52" s="5"/>
      <c r="AI52" s="3"/>
      <c r="AJ52" s="5"/>
      <c r="AK52" s="24"/>
      <c r="AL52" s="5"/>
      <c r="AM52" s="8"/>
      <c r="AN52" s="5"/>
      <c r="AO52" s="8"/>
      <c r="AP52" s="5"/>
      <c r="AQ52" s="3"/>
      <c r="AR52" s="5"/>
      <c r="AS52" s="6"/>
      <c r="AT52" s="5"/>
      <c r="AU52" s="3"/>
      <c r="AV52" s="18"/>
    </row>
    <row r="53" spans="1:48" ht="14.25" hidden="1" customHeight="1">
      <c r="A53" s="32"/>
      <c r="B53" s="15"/>
      <c r="D53" s="110"/>
      <c r="E53" s="319"/>
      <c r="F53" s="320"/>
      <c r="G53" s="320"/>
      <c r="H53" s="167"/>
      <c r="I53" s="167">
        <v>0</v>
      </c>
      <c r="J53" s="167"/>
      <c r="K53" s="167"/>
      <c r="L53" s="167"/>
      <c r="M53" s="167"/>
      <c r="N53" s="151"/>
      <c r="O53" s="151"/>
      <c r="P53" s="151"/>
      <c r="Q53" s="151"/>
      <c r="R53" s="151"/>
      <c r="S53" s="151"/>
      <c r="T53" s="151"/>
      <c r="U53" s="151"/>
      <c r="V53" s="151"/>
      <c r="W53" s="151"/>
      <c r="X53" s="151"/>
      <c r="Y53" s="151"/>
      <c r="Z53" s="334"/>
      <c r="AD53" s="5"/>
      <c r="AE53" s="85"/>
      <c r="AF53" s="5"/>
      <c r="AG53" s="86"/>
      <c r="AH53" s="5"/>
      <c r="AI53" s="3"/>
      <c r="AJ53" s="5"/>
      <c r="AK53" s="24"/>
      <c r="AL53" s="5"/>
      <c r="AM53" s="8"/>
      <c r="AN53" s="5"/>
      <c r="AO53" s="8"/>
      <c r="AP53" s="5"/>
      <c r="AQ53" s="3"/>
      <c r="AR53" s="5"/>
      <c r="AS53" s="6"/>
      <c r="AT53" s="5"/>
      <c r="AU53" s="3"/>
      <c r="AV53" s="18"/>
    </row>
    <row r="54" spans="1:48" ht="14.25" hidden="1" customHeight="1">
      <c r="A54" s="32"/>
      <c r="B54" s="15"/>
      <c r="D54" s="110"/>
      <c r="E54" s="319"/>
      <c r="F54" s="320"/>
      <c r="G54" s="320"/>
      <c r="H54" s="1915" t="s">
        <v>355</v>
      </c>
      <c r="I54" s="1915"/>
      <c r="J54" s="1915"/>
      <c r="K54" s="1915"/>
      <c r="L54" s="1915"/>
      <c r="M54" s="1915"/>
      <c r="N54" s="151">
        <f>IF(Calculations!$L$45=TRUE,IF(Calculations!$G$50=TRUE,N31,0),0)</f>
        <v>0</v>
      </c>
      <c r="O54" s="151">
        <f>IF(Calculations!$L$45=TRUE,IF(Calculations!$G$50=TRUE,O31,0),0)</f>
        <v>0</v>
      </c>
      <c r="P54" s="151">
        <f>IF(Calculations!$L$45=TRUE,IF(Calculations!$G$50=TRUE,P31,0),0)</f>
        <v>0</v>
      </c>
      <c r="Q54" s="151">
        <f>IF(Calculations!$L$45=TRUE,IF(Calculations!$G$50=TRUE,Q31,0),0)</f>
        <v>0</v>
      </c>
      <c r="R54" s="151">
        <f>IF(Calculations!$L$45=TRUE,IF(Calculations!$G$50=TRUE,R31,0),0)</f>
        <v>0</v>
      </c>
      <c r="S54" s="151">
        <f>IF(Calculations!$L$45=TRUE,IF(Calculations!$G$50=TRUE,S31,0),0)</f>
        <v>0</v>
      </c>
      <c r="T54" s="151">
        <f>IF(Calculations!$L$45=TRUE,IF(Calculations!$G$50=TRUE,T31,0),0)</f>
        <v>0</v>
      </c>
      <c r="U54" s="151">
        <f>IF(Calculations!$L$45=TRUE,IF(Calculations!$G$50=TRUE,U31,0),0)</f>
        <v>0</v>
      </c>
      <c r="V54" s="151">
        <f>IF(Calculations!$L$45=TRUE,IF(Calculations!$G$50=TRUE,V31,0),0)</f>
        <v>0</v>
      </c>
      <c r="W54" s="151">
        <f>IF(Calculations!$L$45=TRUE,IF(Calculations!$G$50=TRUE,W31,0),0)</f>
        <v>0</v>
      </c>
      <c r="X54" s="151">
        <f>IF(Calculations!$L$45=TRUE,IF(Calculations!$G$50=TRUE,X31,0),0)</f>
        <v>0</v>
      </c>
      <c r="Y54" s="151">
        <f>IF(Calculations!$L$45=TRUE,IF(Calculations!$G$50=TRUE,Y31,0),0)</f>
        <v>0</v>
      </c>
      <c r="Z54" s="334"/>
      <c r="AD54" s="5"/>
      <c r="AE54" s="85"/>
      <c r="AF54" s="5"/>
      <c r="AG54" s="86"/>
      <c r="AH54" s="5"/>
      <c r="AI54" s="3"/>
      <c r="AJ54" s="5"/>
      <c r="AK54" s="24"/>
      <c r="AL54" s="5"/>
      <c r="AM54" s="8"/>
      <c r="AN54" s="5"/>
      <c r="AO54" s="8"/>
      <c r="AP54" s="5"/>
      <c r="AQ54" s="3"/>
      <c r="AR54" s="5"/>
      <c r="AS54" s="6"/>
      <c r="AT54" s="5"/>
      <c r="AU54" s="3"/>
      <c r="AV54" s="18"/>
    </row>
    <row r="55" spans="1:48" ht="14.25" hidden="1" customHeight="1">
      <c r="A55" s="32"/>
      <c r="B55" s="15"/>
      <c r="D55" s="110"/>
      <c r="E55" s="319"/>
      <c r="F55" s="320"/>
      <c r="G55" s="320"/>
      <c r="H55" s="1915" t="s">
        <v>356</v>
      </c>
      <c r="I55" s="1915"/>
      <c r="J55" s="1915"/>
      <c r="K55" s="1915"/>
      <c r="L55" s="1915"/>
      <c r="M55" s="1915"/>
      <c r="N55" s="151">
        <f>IF(Calculations!$L$45=TRUE,IF(Calculations!$H$50=TRUE,N31,0),0)</f>
        <v>0</v>
      </c>
      <c r="O55" s="151">
        <f>IF(Calculations!$L$45=TRUE,IF(Calculations!$H$50=TRUE,O31,0),0)</f>
        <v>0</v>
      </c>
      <c r="P55" s="151">
        <f>IF(Calculations!$L$45=TRUE,IF(Calculations!$H$50=TRUE,P31,0),0)</f>
        <v>0</v>
      </c>
      <c r="Q55" s="151">
        <f>IF(Calculations!$L$45=TRUE,IF(Calculations!$H$50=TRUE,Q31,0),0)</f>
        <v>0</v>
      </c>
      <c r="R55" s="151">
        <f>IF(Calculations!$L$45=TRUE,IF(Calculations!$H$50=TRUE,R31,0),0)</f>
        <v>0</v>
      </c>
      <c r="S55" s="151">
        <f>IF(Calculations!$L$45=TRUE,IF(Calculations!$H$50=TRUE,S31,0),0)</f>
        <v>0</v>
      </c>
      <c r="T55" s="151">
        <f>IF(Calculations!$L$45=TRUE,IF(Calculations!$H$50=TRUE,T31,0),0)</f>
        <v>0</v>
      </c>
      <c r="U55" s="151">
        <f>IF(Calculations!$L$45=TRUE,IF(Calculations!$H$50=TRUE,U31,0),0)</f>
        <v>0</v>
      </c>
      <c r="V55" s="151">
        <f>IF(Calculations!$L$45=TRUE,IF(Calculations!$H$50=TRUE,V31,0),0)</f>
        <v>0</v>
      </c>
      <c r="W55" s="151">
        <f>IF(Calculations!$L$45=TRUE,IF(Calculations!$H$50=TRUE,W31,0),0)</f>
        <v>0</v>
      </c>
      <c r="X55" s="151">
        <f>IF(Calculations!$L$45=TRUE,IF(Calculations!$H$50=TRUE,X31,0),0)</f>
        <v>0</v>
      </c>
      <c r="Y55" s="151">
        <f>IF(Calculations!$L$45=TRUE,IF(Calculations!$H$50=TRUE,Y31,0),0)</f>
        <v>0</v>
      </c>
      <c r="Z55" s="334"/>
      <c r="AD55" s="5"/>
      <c r="AE55" s="85"/>
      <c r="AF55" s="5"/>
      <c r="AG55" s="86"/>
      <c r="AH55" s="5"/>
      <c r="AI55" s="3"/>
      <c r="AJ55" s="5"/>
      <c r="AK55" s="24"/>
      <c r="AL55" s="5"/>
      <c r="AM55" s="8"/>
      <c r="AN55" s="5"/>
      <c r="AO55" s="8"/>
      <c r="AP55" s="5"/>
      <c r="AQ55" s="3"/>
      <c r="AR55" s="5"/>
      <c r="AS55" s="6"/>
      <c r="AT55" s="5"/>
      <c r="AU55" s="3"/>
      <c r="AV55" s="18"/>
    </row>
    <row r="56" spans="1:48" ht="14.25" hidden="1" customHeight="1">
      <c r="A56" s="32"/>
      <c r="B56" s="15"/>
      <c r="D56" s="110"/>
      <c r="E56" s="319"/>
      <c r="F56" s="320"/>
      <c r="G56" s="320"/>
      <c r="H56" s="1915"/>
      <c r="I56" s="1915"/>
      <c r="J56" s="1915"/>
      <c r="K56" s="1915"/>
      <c r="L56" s="1915"/>
      <c r="M56" s="1915"/>
      <c r="N56" s="151"/>
      <c r="O56" s="151"/>
      <c r="P56" s="151"/>
      <c r="Q56" s="151"/>
      <c r="R56" s="151"/>
      <c r="S56" s="151"/>
      <c r="T56" s="151"/>
      <c r="U56" s="151"/>
      <c r="V56" s="151"/>
      <c r="W56" s="151"/>
      <c r="X56" s="151"/>
      <c r="Y56" s="151"/>
      <c r="Z56" s="334"/>
      <c r="AD56" s="5"/>
      <c r="AE56" s="85"/>
      <c r="AF56" s="5"/>
      <c r="AG56" s="86"/>
      <c r="AH56" s="5"/>
      <c r="AI56" s="3"/>
      <c r="AJ56" s="5"/>
      <c r="AK56" s="24"/>
      <c r="AL56" s="5"/>
      <c r="AM56" s="8"/>
      <c r="AN56" s="5"/>
      <c r="AO56" s="8"/>
      <c r="AP56" s="5"/>
      <c r="AQ56" s="3"/>
      <c r="AR56" s="5"/>
      <c r="AS56" s="6"/>
      <c r="AT56" s="5"/>
      <c r="AU56" s="3"/>
      <c r="AV56" s="18"/>
    </row>
    <row r="57" spans="1:48" ht="14.25" hidden="1" customHeight="1">
      <c r="A57" s="32"/>
      <c r="B57" s="15"/>
      <c r="D57" s="110"/>
      <c r="E57" s="319"/>
      <c r="F57" s="320"/>
      <c r="G57" s="320"/>
      <c r="H57" s="1922" t="s">
        <v>35</v>
      </c>
      <c r="I57" s="1922"/>
      <c r="J57" s="1922"/>
      <c r="K57" s="1922"/>
      <c r="L57" s="1922"/>
      <c r="M57" s="1922"/>
      <c r="N57" s="151"/>
      <c r="O57" s="151"/>
      <c r="P57" s="151"/>
      <c r="Q57" s="151"/>
      <c r="R57" s="151"/>
      <c r="S57" s="151"/>
      <c r="T57" s="151"/>
      <c r="U57" s="151"/>
      <c r="V57" s="151"/>
      <c r="W57" s="151"/>
      <c r="X57" s="151"/>
      <c r="Y57" s="151"/>
      <c r="Z57" s="334"/>
      <c r="AD57" s="5"/>
      <c r="AE57" s="85"/>
      <c r="AF57" s="5"/>
      <c r="AG57" s="86"/>
      <c r="AH57" s="5"/>
      <c r="AI57" s="3"/>
      <c r="AJ57" s="5"/>
      <c r="AK57" s="24"/>
      <c r="AL57" s="5"/>
      <c r="AM57" s="8"/>
      <c r="AN57" s="5"/>
      <c r="AO57" s="8"/>
      <c r="AP57" s="5"/>
      <c r="AQ57" s="3"/>
      <c r="AR57" s="5"/>
      <c r="AS57" s="6"/>
      <c r="AT57" s="5"/>
      <c r="AU57" s="3"/>
      <c r="AV57" s="18"/>
    </row>
    <row r="58" spans="1:48" ht="14.25" hidden="1" customHeight="1">
      <c r="A58" s="32"/>
      <c r="B58" s="15"/>
      <c r="D58" s="110"/>
      <c r="E58" s="319"/>
      <c r="F58" s="320"/>
      <c r="G58" s="320"/>
      <c r="H58" s="1915" t="s">
        <v>329</v>
      </c>
      <c r="I58" s="1915"/>
      <c r="J58" s="1915"/>
      <c r="K58" s="1915"/>
      <c r="L58" s="1915"/>
      <c r="M58" s="1915"/>
      <c r="N58" s="168" t="str">
        <f>IF(Calculations!$B$55=TRUE,"P",IF(Calculations!$B$62&lt;Calculations!$B$63,(IF(Calculations!$B$62&lt;=1,(IF(Calculations!$B$63&gt;=1,"P","A")),"A")),IF(Calculations!$B$63&gt;=1,"P",IF(Calculations!$B$62&lt;=1,"P","A"))))</f>
        <v>A</v>
      </c>
      <c r="O58" s="168" t="str">
        <f>IF(Calculations!$B$55=TRUE,"P",IF(Calculations!$B$62&lt;Calculations!$B$63,(IF(Calculations!$B$62&lt;=2,(IF(Calculations!$B$63&gt;=2,"P","A")),"A")),IF(Calculations!$B$63&gt;=2,"P",IF(Calculations!$B$62&lt;=2,"P","A"))))</f>
        <v>A</v>
      </c>
      <c r="P58" s="168" t="str">
        <f>IF(Calculations!$B$55=TRUE,"P",IF(Calculations!$B$62&lt;Calculations!$B$63,(IF(Calculations!$B$62&lt;=3,(IF(Calculations!$B$63&gt;=3,"P","A")),"A")),IF(Calculations!$B$63&gt;=3,"P",IF(Calculations!$B$62&lt;=3,"P","A"))))</f>
        <v>P</v>
      </c>
      <c r="Q58" s="168" t="str">
        <f>IF(Calculations!$B$55=TRUE,"P",IF(Calculations!$B$62&lt;Calculations!$B$63,(IF(Calculations!$B$62&lt;=4,(IF(Calculations!$B$63&gt;=4,"P","A")),"A")),IF(Calculations!$B$63&gt;=4,"P",IF(Calculations!$B$62&lt;=4,"P","A"))))</f>
        <v>P</v>
      </c>
      <c r="R58" s="168" t="str">
        <f>IF(Calculations!$B$55=TRUE,"P",IF(Calculations!$B$62&lt;Calculations!$B$63,(IF(Calculations!$B$62&lt;=5,(IF(Calculations!$B$63&gt;=5,"P","A")),"A")),IF(Calculations!$B$63&gt;=5,"P",IF(Calculations!$B$62&lt;=5,"P","A"))))</f>
        <v>A</v>
      </c>
      <c r="S58" s="168" t="str">
        <f>IF(Calculations!$B$55=TRUE,"P",IF(Calculations!$B$62&lt;Calculations!$B$63,(IF(Calculations!$B$62&lt;=6,(IF(Calculations!$B$63&gt;=6,"P","A")),"A")),IF(Calculations!$B$63&gt;=6,"P",IF(Calculations!$B$62&lt;=6,"P","A"))))</f>
        <v>A</v>
      </c>
      <c r="T58" s="168" t="str">
        <f>IF(Calculations!$B$55=TRUE,"P",IF(Calculations!$B$62&lt;Calculations!$B$63,(IF(Calculations!$B$62&lt;=7,(IF(Calculations!$B$63&gt;=7,"P","A")),"A")),IF(Calculations!$B$63&gt;=7,"P",IF(Calculations!$B$62&lt;=7,"P","A"))))</f>
        <v>A</v>
      </c>
      <c r="U58" s="168" t="str">
        <f>IF(Calculations!$B$55=TRUE,"P",IF(Calculations!$B$62&lt;Calculations!$B$63,(IF(Calculations!$B$62&lt;=8,(IF(Calculations!$B$63&gt;=8,"P","A")),"A")),IF(Calculations!$B$63&gt;=8,"P",IF(Calculations!$B$62&lt;=8,"P","A"))))</f>
        <v>A</v>
      </c>
      <c r="V58" s="168" t="str">
        <f>IF(Calculations!$B$55=TRUE,"P",IF(Calculations!$B$62&lt;Calculations!$B$63,(IF(Calculations!$B$62&lt;=9,(IF(Calculations!$B$63&gt;=9,"P","A")),"A")),IF(Calculations!$B$63&gt;=9,"P",IF(Calculations!$B$62&lt;=9,"P","A"))))</f>
        <v>A</v>
      </c>
      <c r="W58" s="168" t="str">
        <f>IF(Calculations!$B$55=TRUE,"P",IF(Calculations!$B$62&lt;Calculations!$B$63,(IF(Calculations!$B$62&lt;=10,(IF(Calculations!$B$63&gt;=10,"P","A")),"A")),IF(Calculations!$B$63&gt;=10,"P",IF(Calculations!$B$62&lt;=10,"P","A"))))</f>
        <v>A</v>
      </c>
      <c r="X58" s="168" t="str">
        <f>IF(Calculations!$B$55=TRUE,"P",IF(Calculations!$B$62&lt;Calculations!$B$63,(IF(Calculations!$B$62&lt;=11,(IF(Calculations!$B$63&gt;=11,"P","A")),"A")),IF(Calculations!$B$63&gt;=11,"P",IF(Calculations!$B$62&lt;=11,"P","A"))))</f>
        <v>A</v>
      </c>
      <c r="Y58" s="168" t="str">
        <f>IF(Calculations!$B$55=TRUE,"P",IF(Calculations!$B$62&lt;Calculations!$B$63,(IF(Calculations!$B$62&lt;=12,(IF(Calculations!$B$63&gt;=12,"P","A")),"A")),IF(Calculations!$B$63&gt;=12,"P",IF(Calculations!$B$62&lt;=12,"P","A"))))</f>
        <v>A</v>
      </c>
      <c r="Z58" s="334"/>
      <c r="AD58" s="5"/>
      <c r="AE58" s="85"/>
      <c r="AF58" s="5"/>
      <c r="AG58" s="86"/>
      <c r="AH58" s="5"/>
      <c r="AI58" s="3"/>
      <c r="AJ58" s="5"/>
      <c r="AK58" s="24"/>
      <c r="AL58" s="5"/>
      <c r="AM58" s="8"/>
      <c r="AN58" s="5"/>
      <c r="AO58" s="8"/>
      <c r="AP58" s="5"/>
      <c r="AQ58" s="3"/>
      <c r="AR58" s="5"/>
      <c r="AS58" s="6"/>
      <c r="AT58" s="5"/>
      <c r="AU58" s="3"/>
      <c r="AV58" s="18"/>
    </row>
    <row r="59" spans="1:48" ht="14.25" hidden="1" customHeight="1">
      <c r="A59" s="32"/>
      <c r="B59" s="15"/>
      <c r="D59" s="110"/>
      <c r="E59" s="319"/>
      <c r="F59" s="320"/>
      <c r="G59" s="320"/>
      <c r="H59" s="1915" t="s">
        <v>327</v>
      </c>
      <c r="I59" s="1915"/>
      <c r="J59" s="1915"/>
      <c r="K59" s="1915"/>
      <c r="L59" s="1915"/>
      <c r="M59" s="1915"/>
      <c r="N59" s="168">
        <f>IF(OR(Calculations!$B$58=TRUE,Calculations!$B$59=TRUE),IF(Calculations!$B$65&lt;Calculations!$B$66,(IF(Calculations!$B$65&lt;=1,(IF(Calculations!$B$66&gt;=1,"P","A")),"A")),IF(Calculations!$B$66&gt;=1,"P",IF(Calculations!$B$65&lt;=1,"P","A"))),0)</f>
        <v>0</v>
      </c>
      <c r="O59" s="168">
        <f>IF(OR(Calculations!$B$58=TRUE,Calculations!$B$59=TRUE),IF(Calculations!$B$65&lt;Calculations!$B$66,(IF(Calculations!$B$65&lt;=5,(IF(Calculations!$B$66&gt;=5,"P","A")),"A")),IF(Calculations!$B$66&gt;=5,"P",IF(Calculations!$B$65&lt;=5,"P","A"))),0)</f>
        <v>0</v>
      </c>
      <c r="P59" s="168">
        <f>IF(OR(Calculations!$B$58=TRUE,Calculations!$B$59=TRUE),IF(Calculations!$B$65&lt;Calculations!$B$66,(IF(Calculations!$B$65&lt;=3,(IF(Calculations!$B$66&gt;=3,"P","A")),"A")),IF(Calculations!$B$66&gt;=3,"P",IF(Calculations!$B$65&lt;=3,"P","A"))),0)</f>
        <v>0</v>
      </c>
      <c r="Q59" s="168">
        <f>IF(OR(Calculations!$B$58=TRUE,Calculations!$B$59=TRUE),IF(Calculations!$B$65&lt;Calculations!$B$66,(IF(Calculations!$B$65&lt;=4,(IF(Calculations!$B$66&gt;=4,"P","A")),"A")),IF(Calculations!$B$66&gt;=4,"P",IF(Calculations!$B$65&lt;=4,"P","A"))),0)</f>
        <v>0</v>
      </c>
      <c r="R59" s="168">
        <f>IF(OR(Calculations!$B$58=TRUE,Calculations!$B$59=TRUE),IF(Calculations!$B$65&lt;Calculations!$B$66,(IF(Calculations!$B$65&lt;=5,(IF(Calculations!$B$66&gt;=5,"P","A")),"A")),IF(Calculations!$B$66&gt;=5,"P",IF(Calculations!$B$65&lt;=5,"P","A"))),0)</f>
        <v>0</v>
      </c>
      <c r="S59" s="168">
        <f>IF(OR(Calculations!$B$58=TRUE,Calculations!$B$59=TRUE),IF(Calculations!$B$65&lt;Calculations!$B$66,(IF(Calculations!$B$65&lt;=6,(IF(Calculations!$B$66&gt;=6,"P","A")),"A")),IF(Calculations!$B$66&gt;=6,"P",IF(Calculations!$B$65&lt;=6,"P","A"))),0)</f>
        <v>0</v>
      </c>
      <c r="T59" s="168">
        <f>IF(OR(Calculations!$B$58=TRUE,Calculations!$B$59=TRUE),IF(Calculations!$B$65&lt;Calculations!$B$66,(IF(Calculations!$B$65&lt;=7,(IF(Calculations!$B$66&gt;=7,"P","A")),"A")),IF(Calculations!$B$66&gt;=7,"P",IF(Calculations!$B$65&lt;=7,"P","A"))),0)</f>
        <v>0</v>
      </c>
      <c r="U59" s="168">
        <f>IF(OR(Calculations!$B$58=TRUE,Calculations!$B$59=TRUE),IF(Calculations!$B$65&lt;Calculations!$B$66,(IF(Calculations!$B$65&lt;=8,(IF(Calculations!$B$66&gt;=8,"P","A")),"A")),IF(Calculations!$B$66&gt;=8,"P",IF(Calculations!$B$65&lt;=8,"P","A"))),0)</f>
        <v>0</v>
      </c>
      <c r="V59" s="168">
        <f>IF(OR(Calculations!$B$58=TRUE,Calculations!$B$59=TRUE),IF(Calculations!$B$65&lt;Calculations!$B$66,(IF(Calculations!$B$65&lt;=9,(IF(Calculations!$B$66&gt;=9,"P","A")),"A")),IF(Calculations!$B$66&gt;=9,"P",IF(Calculations!$B$65&lt;=9,"P","A"))),0)</f>
        <v>0</v>
      </c>
      <c r="W59" s="168">
        <f>IF(OR(Calculations!$B$58=TRUE,Calculations!$B$59=TRUE),IF(Calculations!$B$65&lt;Calculations!$B$66,(IF(Calculations!$B$65&lt;=10,(IF(Calculations!$B$66&gt;=10,"P","A")),"A")),IF(Calculations!$B$66&gt;=10,"P",IF(Calculations!$B$65&lt;=10,"P","A"))),0)</f>
        <v>0</v>
      </c>
      <c r="X59" s="168">
        <f>IF(OR(Calculations!$B$58=TRUE,Calculations!$B$59=TRUE),IF(Calculations!$B$65&lt;Calculations!$B$66,(IF(Calculations!$B$65&lt;=11,(IF(Calculations!$B$66&gt;=11,"P","A")),"A")),IF(Calculations!$B$66&gt;=11,"P",IF(Calculations!$B$65&lt;=11,"P","A"))),0)</f>
        <v>0</v>
      </c>
      <c r="Y59" s="168">
        <f>IF(OR(Calculations!$B$58=TRUE,Calculations!$B$59=TRUE),IF(Calculations!$B$65&lt;Calculations!$B$66,(IF(Calculations!$B$65&lt;=12,(IF(Calculations!$B$66&gt;=12,"P","A")),"A")),IF(Calculations!$B$66&gt;=12,"P",IF(Calculations!$B$65&lt;=12,"P","A"))),0)</f>
        <v>0</v>
      </c>
      <c r="Z59" s="334"/>
      <c r="AD59" s="5"/>
      <c r="AE59" s="85"/>
      <c r="AF59" s="5"/>
      <c r="AG59" s="86"/>
      <c r="AH59" s="5"/>
      <c r="AI59" s="3"/>
      <c r="AJ59" s="5"/>
      <c r="AK59" s="24"/>
      <c r="AL59" s="5"/>
      <c r="AM59" s="8"/>
      <c r="AN59" s="5"/>
      <c r="AO59" s="8"/>
      <c r="AP59" s="5"/>
      <c r="AQ59" s="3"/>
      <c r="AR59" s="5"/>
      <c r="AS59" s="6"/>
      <c r="AT59" s="5"/>
      <c r="AU59" s="3"/>
      <c r="AV59" s="18"/>
    </row>
    <row r="60" spans="1:48" ht="14.25" hidden="1" customHeight="1">
      <c r="A60" s="32"/>
      <c r="B60" s="15"/>
      <c r="D60" s="110"/>
      <c r="E60" s="319"/>
      <c r="F60" s="320"/>
      <c r="G60" s="320"/>
      <c r="H60" s="1915" t="s">
        <v>328</v>
      </c>
      <c r="I60" s="1915"/>
      <c r="J60" s="1915"/>
      <c r="K60" s="1915"/>
      <c r="L60" s="1915"/>
      <c r="M60" s="1915"/>
      <c r="N60" s="151" t="str">
        <f>IF(N59="",N58,IF(OR(N58="P",N59="P"),"P","A"))</f>
        <v>A</v>
      </c>
      <c r="O60" s="151" t="str">
        <f t="shared" ref="O60:Y60" si="1">IF(O59="",O58,IF(OR(O58="P",O59="P"),"P","A"))</f>
        <v>A</v>
      </c>
      <c r="P60" s="151" t="str">
        <f t="shared" si="1"/>
        <v>P</v>
      </c>
      <c r="Q60" s="151" t="str">
        <f t="shared" si="1"/>
        <v>P</v>
      </c>
      <c r="R60" s="151" t="str">
        <f t="shared" si="1"/>
        <v>A</v>
      </c>
      <c r="S60" s="151" t="str">
        <f t="shared" si="1"/>
        <v>A</v>
      </c>
      <c r="T60" s="151" t="str">
        <f t="shared" si="1"/>
        <v>A</v>
      </c>
      <c r="U60" s="151" t="str">
        <f t="shared" si="1"/>
        <v>A</v>
      </c>
      <c r="V60" s="151" t="str">
        <f t="shared" si="1"/>
        <v>A</v>
      </c>
      <c r="W60" s="151" t="str">
        <f t="shared" si="1"/>
        <v>A</v>
      </c>
      <c r="X60" s="151" t="str">
        <f t="shared" si="1"/>
        <v>A</v>
      </c>
      <c r="Y60" s="151" t="str">
        <f t="shared" si="1"/>
        <v>A</v>
      </c>
      <c r="Z60" s="334"/>
      <c r="AD60" s="5"/>
      <c r="AE60" s="85"/>
      <c r="AF60" s="5"/>
      <c r="AG60" s="86"/>
      <c r="AH60" s="5"/>
      <c r="AI60" s="3"/>
      <c r="AJ60" s="5"/>
      <c r="AK60" s="24"/>
      <c r="AL60" s="5"/>
      <c r="AM60" s="8"/>
      <c r="AN60" s="5"/>
      <c r="AO60" s="8"/>
      <c r="AP60" s="5"/>
      <c r="AQ60" s="3"/>
      <c r="AR60" s="5"/>
      <c r="AS60" s="6"/>
      <c r="AT60" s="5"/>
      <c r="AU60" s="3"/>
      <c r="AV60" s="18"/>
    </row>
    <row r="61" spans="1:48" ht="14.25" hidden="1" customHeight="1">
      <c r="A61" s="32"/>
      <c r="B61" s="15"/>
      <c r="D61" s="110"/>
      <c r="E61" s="319"/>
      <c r="F61" s="320"/>
      <c r="G61" s="320"/>
      <c r="H61" s="1915" t="s">
        <v>330</v>
      </c>
      <c r="I61" s="1915"/>
      <c r="J61" s="1915"/>
      <c r="K61" s="1915"/>
      <c r="L61" s="1915"/>
      <c r="M61" s="1915"/>
      <c r="N61" s="151">
        <f>IF(Calculations!$L$46=TRUE,IF(N60="P",N33,0),0)</f>
        <v>0</v>
      </c>
      <c r="O61" s="151">
        <f>IF(Calculations!$L$46=TRUE,IF(O60="P",O33,0),0)</f>
        <v>0</v>
      </c>
      <c r="P61" s="151">
        <f>IF(Calculations!$L$46=TRUE,IF(P60="P",P33,0),0)</f>
        <v>0</v>
      </c>
      <c r="Q61" s="151">
        <f>IF(Calculations!$L$46=TRUE,IF(Q60="P",Q33,0),0)</f>
        <v>0</v>
      </c>
      <c r="R61" s="151">
        <f>IF(Calculations!$L$46=TRUE,IF(R60="P",R33,0),0)</f>
        <v>0</v>
      </c>
      <c r="S61" s="151">
        <f>IF(Calculations!$L$46=TRUE,IF(S60="P",S33,0),0)</f>
        <v>0</v>
      </c>
      <c r="T61" s="151">
        <f>IF(Calculations!$L$46=TRUE,IF(T60="P",T33,0),0)</f>
        <v>0</v>
      </c>
      <c r="U61" s="151">
        <f>IF(Calculations!$L$46=TRUE,IF(U60="P",U33,0),0)</f>
        <v>0</v>
      </c>
      <c r="V61" s="151">
        <f>IF(Calculations!$L$46=TRUE,IF(V60="P",V33,0),0)</f>
        <v>0</v>
      </c>
      <c r="W61" s="151">
        <f>IF(Calculations!$L$46=TRUE,IF(W60="P",W33,0),0)</f>
        <v>0</v>
      </c>
      <c r="X61" s="151">
        <f>IF(Calculations!$L$46=TRUE,IF(X60="P",X33,0),0)</f>
        <v>0</v>
      </c>
      <c r="Y61" s="151">
        <f>IF(Calculations!$L$46=TRUE,IF(Y60="P",Y33,0),0)</f>
        <v>0</v>
      </c>
      <c r="Z61" s="334"/>
      <c r="AD61" s="5"/>
      <c r="AE61" s="85"/>
      <c r="AF61" s="5"/>
      <c r="AG61" s="86"/>
      <c r="AH61" s="5"/>
      <c r="AI61" s="3"/>
      <c r="AJ61" s="5"/>
      <c r="AK61" s="24"/>
      <c r="AL61" s="5"/>
      <c r="AM61" s="8"/>
      <c r="AN61" s="5"/>
      <c r="AO61" s="8"/>
      <c r="AP61" s="5"/>
      <c r="AQ61" s="3"/>
      <c r="AR61" s="5"/>
      <c r="AS61" s="6"/>
      <c r="AT61" s="5"/>
      <c r="AU61" s="3"/>
      <c r="AV61" s="18"/>
    </row>
    <row r="62" spans="1:48" ht="14.25" hidden="1" customHeight="1">
      <c r="A62" s="32"/>
      <c r="B62" s="15"/>
      <c r="D62" s="110"/>
      <c r="E62" s="319"/>
      <c r="F62" s="320"/>
      <c r="G62" s="320"/>
      <c r="H62" s="1915" t="s">
        <v>357</v>
      </c>
      <c r="I62" s="1915"/>
      <c r="J62" s="1915"/>
      <c r="K62" s="1915"/>
      <c r="L62" s="1915"/>
      <c r="M62" s="1915"/>
      <c r="N62" s="151">
        <f>IF(Calculations!$L$46=TRUE,IF(AND(N60="A",OR(Calculations!$B$56=TRUE,Calculations!$B$58=TRUE)),N33,0),0)</f>
        <v>0</v>
      </c>
      <c r="O62" s="151">
        <f>IF(Calculations!$L$46=TRUE,IF(AND(O60="A",OR(Calculations!$B$56=TRUE,Calculations!$B$58=TRUE)),O33,0),0)</f>
        <v>0</v>
      </c>
      <c r="P62" s="151">
        <f>IF(Calculations!$L$46=TRUE,IF(AND(P60="A",OR(Calculations!$B$56=TRUE,Calculations!$B$58=TRUE)),P33,0),0)</f>
        <v>0</v>
      </c>
      <c r="Q62" s="151">
        <f>IF(Calculations!$L$46=TRUE,IF(AND(Q60="A",OR(Calculations!$B$56=TRUE,Calculations!$B$58=TRUE)),Q33,0),0)</f>
        <v>0</v>
      </c>
      <c r="R62" s="151">
        <f>IF(Calculations!$L$46=TRUE,IF(AND(R60="A",OR(Calculations!$B$56=TRUE,Calculations!$B$58=TRUE)),R33,0),0)</f>
        <v>0</v>
      </c>
      <c r="S62" s="151">
        <f>IF(Calculations!$L$46=TRUE,IF(AND(S60="A",OR(Calculations!$B$56=TRUE,Calculations!$B$58=TRUE)),S33,0),0)</f>
        <v>0</v>
      </c>
      <c r="T62" s="151">
        <f>IF(Calculations!$L$46=TRUE,IF(AND(T60="A",OR(Calculations!$B$56=TRUE,Calculations!$B$58=TRUE)),T33,0),0)</f>
        <v>0</v>
      </c>
      <c r="U62" s="151">
        <f>IF(Calculations!$L$46=TRUE,IF(AND(U60="A",OR(Calculations!$B$56=TRUE,Calculations!$B$58=TRUE)),U33,0),0)</f>
        <v>0</v>
      </c>
      <c r="V62" s="151">
        <f>IF(Calculations!$L$46=TRUE,IF(AND(V60="A",OR(Calculations!$B$56=TRUE,Calculations!$B$58=TRUE)),V33,0),0)</f>
        <v>0</v>
      </c>
      <c r="W62" s="151">
        <f>IF(Calculations!$L$46=TRUE,IF(AND(W60="A",OR(Calculations!$B$56=TRUE,Calculations!$B$58=TRUE)),W33,0),0)</f>
        <v>0</v>
      </c>
      <c r="X62" s="151">
        <f>IF(Calculations!$L$46=TRUE,IF(AND(X60="A",OR(Calculations!$B$56=TRUE,Calculations!$B$58=TRUE)),X33,0),0)</f>
        <v>0</v>
      </c>
      <c r="Y62" s="151">
        <f>IF(Calculations!$L$46=TRUE,IF(AND(Y60="A",OR(Calculations!$B$56=TRUE,Calculations!$B$58=TRUE)),Y33,0),0)</f>
        <v>0</v>
      </c>
      <c r="Z62" s="334"/>
      <c r="AD62" s="5"/>
      <c r="AE62" s="85"/>
      <c r="AF62" s="5"/>
      <c r="AG62" s="86"/>
      <c r="AH62" s="5"/>
      <c r="AI62" s="3"/>
      <c r="AJ62" s="5"/>
      <c r="AK62" s="24"/>
      <c r="AL62" s="5"/>
      <c r="AM62" s="8"/>
      <c r="AN62" s="5"/>
      <c r="AO62" s="8"/>
      <c r="AP62" s="5"/>
      <c r="AQ62" s="3"/>
      <c r="AR62" s="5"/>
      <c r="AS62" s="6"/>
      <c r="AT62" s="5"/>
      <c r="AU62" s="3"/>
      <c r="AV62" s="18"/>
    </row>
    <row r="63" spans="1:48" ht="14.25" hidden="1" customHeight="1">
      <c r="A63" s="32"/>
      <c r="B63" s="15"/>
      <c r="D63" s="110"/>
      <c r="E63" s="319"/>
      <c r="F63" s="320"/>
      <c r="G63" s="320"/>
      <c r="H63" s="1915" t="s">
        <v>358</v>
      </c>
      <c r="I63" s="1915"/>
      <c r="J63" s="1915"/>
      <c r="K63" s="1915"/>
      <c r="L63" s="1915"/>
      <c r="M63" s="1915"/>
      <c r="N63" s="151">
        <f>IF(Calculations!$L$46=TRUE,IF(AND(N60="A",OR(Calculations!$B$57=TRUE,Calculations!$B$59=TRUE)),N33,0),0)</f>
        <v>0</v>
      </c>
      <c r="O63" s="151">
        <f>IF(Calculations!$L$46=TRUE,IF(AND(O60="A",OR(Calculations!$B$57=TRUE,Calculations!$B$59=TRUE)),O33,0),0)</f>
        <v>0</v>
      </c>
      <c r="P63" s="151">
        <f>IF(Calculations!$L$46=TRUE,IF(AND(P60="A",OR(Calculations!$B$57=TRUE,Calculations!$B$59=TRUE)),P33,0),0)</f>
        <v>0</v>
      </c>
      <c r="Q63" s="151">
        <f>IF(Calculations!$L$46=TRUE,IF(AND(Q60="A",OR(Calculations!$B$57=TRUE,Calculations!$B$59=TRUE)),Q33,0),0)</f>
        <v>0</v>
      </c>
      <c r="R63" s="151">
        <f>IF(Calculations!$L$46=TRUE,IF(AND(R60="A",OR(Calculations!$B$57=TRUE,Calculations!$B$59=TRUE)),R33,0),0)</f>
        <v>0</v>
      </c>
      <c r="S63" s="151">
        <f>IF(Calculations!$L$46=TRUE,IF(AND(S60="A",OR(Calculations!$B$57=TRUE,Calculations!$B$59=TRUE)),S33,0),0)</f>
        <v>0</v>
      </c>
      <c r="T63" s="151">
        <f>IF(Calculations!$L$46=TRUE,IF(AND(T60="A",OR(Calculations!$B$57=TRUE,Calculations!$B$59=TRUE)),T33,0),0)</f>
        <v>0</v>
      </c>
      <c r="U63" s="151">
        <f>IF(Calculations!$L$46=TRUE,IF(AND(U60="A",OR(Calculations!$B$57=TRUE,Calculations!$B$59=TRUE)),U33,0),0)</f>
        <v>0</v>
      </c>
      <c r="V63" s="151">
        <f>IF(Calculations!$L$46=TRUE,IF(AND(V60="A",OR(Calculations!$B$57=TRUE,Calculations!$B$59=TRUE)),V33,0),0)</f>
        <v>0</v>
      </c>
      <c r="W63" s="151">
        <f>IF(Calculations!$L$46=TRUE,IF(AND(W60="A",OR(Calculations!$B$57=TRUE,Calculations!$B$59=TRUE)),W33,0),0)</f>
        <v>0</v>
      </c>
      <c r="X63" s="151">
        <f>IF(Calculations!$L$46=TRUE,IF(AND(X60="A",OR(Calculations!$B$57=TRUE,Calculations!$B$59=TRUE)),X33,0),0)</f>
        <v>0</v>
      </c>
      <c r="Y63" s="151">
        <f>IF(Calculations!$L$46=TRUE,IF(AND(Y60="A",OR(Calculations!$B$57=TRUE,Calculations!$B$59=TRUE)),Y33,0),0)</f>
        <v>0</v>
      </c>
      <c r="Z63" s="334"/>
      <c r="AD63" s="5"/>
      <c r="AE63" s="85"/>
      <c r="AF63" s="5"/>
      <c r="AG63" s="86"/>
      <c r="AH63" s="5"/>
      <c r="AI63" s="3"/>
      <c r="AJ63" s="5"/>
      <c r="AK63" s="24"/>
      <c r="AL63" s="5"/>
      <c r="AM63" s="8"/>
      <c r="AN63" s="5"/>
      <c r="AO63" s="8"/>
      <c r="AP63" s="5"/>
      <c r="AQ63" s="3"/>
      <c r="AR63" s="5"/>
      <c r="AS63" s="6"/>
      <c r="AT63" s="5"/>
      <c r="AU63" s="3"/>
      <c r="AV63" s="18"/>
    </row>
    <row r="64" spans="1:48" ht="14.25" hidden="1" customHeight="1">
      <c r="A64" s="32"/>
      <c r="B64" s="15"/>
      <c r="D64" s="110"/>
      <c r="E64" s="319"/>
      <c r="F64" s="320"/>
      <c r="G64" s="320"/>
      <c r="H64" s="152"/>
      <c r="I64" s="100"/>
      <c r="J64" s="100"/>
      <c r="K64" s="100"/>
      <c r="L64" s="148"/>
      <c r="M64" s="100"/>
      <c r="N64" s="151"/>
      <c r="O64" s="151"/>
      <c r="P64" s="151"/>
      <c r="Q64" s="151"/>
      <c r="R64" s="151"/>
      <c r="S64" s="151"/>
      <c r="T64" s="151"/>
      <c r="U64" s="151"/>
      <c r="V64" s="151"/>
      <c r="W64" s="151"/>
      <c r="X64" s="151"/>
      <c r="Y64" s="151"/>
      <c r="Z64" s="334"/>
      <c r="AD64" s="5"/>
      <c r="AE64" s="85"/>
      <c r="AF64" s="5"/>
      <c r="AG64" s="86"/>
      <c r="AH64" s="5"/>
      <c r="AI64" s="3"/>
      <c r="AJ64" s="5"/>
      <c r="AK64" s="24"/>
      <c r="AL64" s="5"/>
      <c r="AM64" s="8"/>
      <c r="AN64" s="5"/>
      <c r="AO64" s="8"/>
      <c r="AP64" s="5"/>
      <c r="AQ64" s="3"/>
      <c r="AR64" s="5"/>
      <c r="AS64" s="6"/>
      <c r="AT64" s="5"/>
      <c r="AU64" s="3"/>
      <c r="AV64" s="18"/>
    </row>
    <row r="65" spans="1:48" ht="14.25" hidden="1" customHeight="1">
      <c r="A65" s="32"/>
      <c r="B65" s="15"/>
      <c r="D65" s="110"/>
      <c r="E65" s="319"/>
      <c r="F65" s="320"/>
      <c r="G65" s="320"/>
      <c r="H65" s="152"/>
      <c r="I65" s="100"/>
      <c r="J65" s="100"/>
      <c r="K65" s="100"/>
      <c r="L65" s="148"/>
      <c r="M65" s="169" t="s">
        <v>257</v>
      </c>
      <c r="N65" s="151"/>
      <c r="O65" s="151"/>
      <c r="P65" s="151"/>
      <c r="Q65" s="151"/>
      <c r="R65" s="151"/>
      <c r="S65" s="151"/>
      <c r="T65" s="151"/>
      <c r="U65" s="151"/>
      <c r="V65" s="151"/>
      <c r="W65" s="151"/>
      <c r="X65" s="151"/>
      <c r="Y65" s="151"/>
      <c r="Z65" s="334"/>
      <c r="AD65" s="5"/>
      <c r="AE65" s="85"/>
      <c r="AF65" s="5"/>
      <c r="AG65" s="86"/>
      <c r="AH65" s="5"/>
      <c r="AI65" s="3"/>
      <c r="AJ65" s="5"/>
      <c r="AK65" s="24"/>
      <c r="AL65" s="5"/>
      <c r="AM65" s="8"/>
      <c r="AN65" s="5"/>
      <c r="AO65" s="8"/>
      <c r="AP65" s="5"/>
      <c r="AQ65" s="3"/>
      <c r="AR65" s="5"/>
      <c r="AS65" s="6"/>
      <c r="AT65" s="5"/>
      <c r="AU65" s="3"/>
      <c r="AV65" s="18"/>
    </row>
    <row r="66" spans="1:48" ht="14.25" hidden="1" customHeight="1">
      <c r="A66" s="32"/>
      <c r="B66" s="15"/>
      <c r="D66" s="110"/>
      <c r="E66" s="319"/>
      <c r="F66" s="320"/>
      <c r="G66" s="320"/>
      <c r="H66" s="152"/>
      <c r="I66" s="100"/>
      <c r="J66" s="100"/>
      <c r="K66" s="100"/>
      <c r="L66" s="148"/>
      <c r="M66" s="167" t="s">
        <v>339</v>
      </c>
      <c r="N66" s="151" t="str">
        <f>IF(Calculations!B71=TRUE,"P",IF(Calculations!$B$87&lt;Calculations!$B$88,(IF(Calculations!$B$87&lt;=1,(IF(Calculations!$B$88&gt;=1,"A","P")),"P")),IF(Calculations!$B$88&gt;=1,"A",IF(Calculations!$B$87&lt;=1,"A","P"))))</f>
        <v>P</v>
      </c>
      <c r="O66" s="151" t="str">
        <f>IF(Calculations!B71=TRUE,"P",IF(Calculations!$B$87&lt;Calculations!$B$88,(IF(Calculations!$B$87&lt;=2,(IF(Calculations!$B$88&gt;=2,"A","P")),"P")),IF(Calculations!$B$88&gt;=2,"A",IF(Calculations!$B$87&lt;=2,"A","P"))))</f>
        <v>P</v>
      </c>
      <c r="P66" s="151" t="str">
        <f>IF(Calculations!B71=TRUE,"P",IF(Calculations!$B$87&lt;Calculations!$B$88,(IF(Calculations!$B$87&lt;=3,(IF(Calculations!$B$88&gt;=3,"A","P")),"P")),IF(Calculations!$B$88&gt;=3,"A",IF(Calculations!$B$87&lt;=3,"A","P"))))</f>
        <v>P</v>
      </c>
      <c r="Q66" s="151" t="str">
        <f>IF(Calculations!B71=TRUE,"P",IF(Calculations!$B$87&lt;Calculations!$B$88,(IF(Calculations!$B$87&lt;=4,(IF(Calculations!$B$88&gt;=4,"A","P")),"P")),IF(Calculations!$B$88&gt;=4,"A",IF(Calculations!$B$87&lt;=4,"A","P"))))</f>
        <v>P</v>
      </c>
      <c r="R66" s="151" t="str">
        <f>IF(Calculations!B71=TRUE,"P",IF(Calculations!$B$87&lt;Calculations!$B$88,(IF(Calculations!$B$87&lt;=5,(IF(Calculations!$B$88&gt;=5,"A","P")),"P")),IF(Calculations!$B$88&gt;=5,"A",IF(Calculations!$B$87&lt;=5,"A","P"))))</f>
        <v>P</v>
      </c>
      <c r="S66" s="151" t="str">
        <f>IF(Calculations!B71=TRUE,"P",IF(Calculations!$B$87&lt;Calculations!$B$88,(IF(Calculations!$B$87&lt;=6,(IF(Calculations!$B$88&gt;=6,"A","P")),"P")),IF(Calculations!$B$88&gt;=6,"A",IF(Calculations!$B$87&lt;=6,"A","P"))))</f>
        <v>P</v>
      </c>
      <c r="T66" s="151" t="str">
        <f>IF(Calculations!B71=TRUE,"P",IF(Calculations!$B$87&lt;Calculations!$B$88,(IF(Calculations!$B$87&lt;=7,(IF(Calculations!$B$88&gt;=7,"A","P")),"P")),IF(Calculations!$B$88&gt;=7,"A",IF(Calculations!$B$87&lt;=7,"A","P"))))</f>
        <v>P</v>
      </c>
      <c r="U66" s="151" t="str">
        <f>IF(Calculations!B71=TRUE,"P",IF(Calculations!$B$87&lt;Calculations!$B$88,(IF(Calculations!$B$87&lt;=8,(IF(Calculations!$B$88&gt;=8,"A","P")),"P")),IF(Calculations!$B$88&gt;=8,"A",IF(Calculations!$B$87&lt;=8,"A","P"))))</f>
        <v>P</v>
      </c>
      <c r="V66" s="151" t="str">
        <f>IF(Calculations!B71=TRUE,"P",IF(Calculations!$B$87&lt;Calculations!$B$88,(IF(Calculations!$B$87&lt;=9,(IF(Calculations!$B$88&gt;=9,"A","P")),"P")),IF(Calculations!$B$88&gt;=9,"A",IF(Calculations!$B$87&lt;=9,"A","P"))))</f>
        <v>P</v>
      </c>
      <c r="W66" s="151" t="str">
        <f>IF(Calculations!B71=TRUE,"P",IF(Calculations!$B$87&lt;Calculations!$B$88,(IF(Calculations!$B$87&lt;=10,(IF(Calculations!$B$88&gt;=10,"A","P")),"P")),IF(Calculations!$B$88&gt;=10,"A",IF(Calculations!$B$87&lt;=10,"A","P"))))</f>
        <v>P</v>
      </c>
      <c r="X66" s="151" t="str">
        <f>IF(Calculations!B71=TRUE,"P",IF(Calculations!$B$87&lt;Calculations!$B$88,(IF(Calculations!$B$87&lt;=11,(IF(Calculations!$B$88&gt;=11,"A","P")),"P")),IF(Calculations!$B$88&gt;=11,"A",IF(Calculations!$B$87&lt;=11,"A","P"))))</f>
        <v>P</v>
      </c>
      <c r="Y66" s="151" t="str">
        <f>IF(Calculations!B71=TRUE,"P",IF(Calculations!$B$87&lt;Calculations!$B$88,(IF(Calculations!$B$87&lt;=12,(IF(Calculations!$B$88&gt;=12,"A","P")),"P")),IF(Calculations!$B$88&gt;=12,"A",IF(Calculations!$B$87&lt;=12,"A","P"))))</f>
        <v>P</v>
      </c>
      <c r="Z66" s="334"/>
      <c r="AD66" s="5"/>
      <c r="AE66" s="85"/>
      <c r="AF66" s="5"/>
      <c r="AG66" s="86"/>
      <c r="AH66" s="5"/>
      <c r="AI66" s="3"/>
      <c r="AJ66" s="5"/>
      <c r="AK66" s="24"/>
      <c r="AL66" s="5"/>
      <c r="AM66" s="8"/>
      <c r="AN66" s="5"/>
      <c r="AO66" s="8"/>
      <c r="AP66" s="5"/>
      <c r="AQ66" s="3"/>
      <c r="AR66" s="5"/>
      <c r="AS66" s="6"/>
      <c r="AT66" s="5"/>
      <c r="AU66" s="3"/>
      <c r="AV66" s="18"/>
    </row>
    <row r="67" spans="1:48" ht="14.25" hidden="1" customHeight="1">
      <c r="A67" s="32"/>
      <c r="B67" s="15"/>
      <c r="D67" s="110"/>
      <c r="E67" s="319"/>
      <c r="F67" s="320"/>
      <c r="G67" s="320"/>
      <c r="H67" s="1913" t="s">
        <v>336</v>
      </c>
      <c r="I67" s="1914"/>
      <c r="J67" s="1914"/>
      <c r="K67" s="1914"/>
      <c r="L67" s="1914"/>
      <c r="M67" s="1914"/>
      <c r="N67" s="151">
        <f>IF(Calculations!$L$47=TRUE,IF(N66="P",N15,0),0)</f>
        <v>0</v>
      </c>
      <c r="O67" s="151">
        <f>IF(Calculations!$L$47=TRUE,IF(O66="P",O15,0),0)</f>
        <v>0</v>
      </c>
      <c r="P67" s="151">
        <f>IF(Calculations!$L$47=TRUE,IF(P66="P",P15,0),0)</f>
        <v>0</v>
      </c>
      <c r="Q67" s="151">
        <f>IF(Calculations!$L$47=TRUE,IF(Q66="P",Q15,0),0)</f>
        <v>0</v>
      </c>
      <c r="R67" s="151">
        <f>IF(Calculations!$L$47=TRUE,IF(R66="P",R15,0),0)</f>
        <v>0</v>
      </c>
      <c r="S67" s="151">
        <f>IF(Calculations!$L$47=TRUE,IF(S66="P",S15,0),0)</f>
        <v>0</v>
      </c>
      <c r="T67" s="151">
        <f>IF(Calculations!$L$47=TRUE,IF(T66="P",T15,0),0)</f>
        <v>0</v>
      </c>
      <c r="U67" s="151">
        <f>IF(Calculations!$L$47=TRUE,IF(U66="P",U15,0),0)</f>
        <v>0</v>
      </c>
      <c r="V67" s="151">
        <f>IF(Calculations!$L$47=TRUE,IF(V66="P",V15,0),0)</f>
        <v>0</v>
      </c>
      <c r="W67" s="151">
        <f>IF(Calculations!$L$47=TRUE,IF(W66="P",W15,0),0)</f>
        <v>0</v>
      </c>
      <c r="X67" s="151">
        <f>IF(Calculations!$L$47=TRUE,IF(X66="P",X15,0),0)</f>
        <v>0</v>
      </c>
      <c r="Y67" s="151">
        <f>IF(Calculations!$L$47=TRUE,IF(Y66="P",Y15,0),0)</f>
        <v>0</v>
      </c>
      <c r="Z67" s="334"/>
      <c r="AD67" s="5"/>
      <c r="AE67" s="85"/>
      <c r="AF67" s="5"/>
      <c r="AG67" s="86"/>
      <c r="AH67" s="5"/>
      <c r="AI67" s="3"/>
      <c r="AJ67" s="5"/>
      <c r="AK67" s="24"/>
      <c r="AL67" s="5"/>
      <c r="AM67" s="8"/>
      <c r="AN67" s="5"/>
      <c r="AO67" s="8"/>
      <c r="AP67" s="5"/>
      <c r="AQ67" s="3"/>
      <c r="AR67" s="5"/>
      <c r="AS67" s="6"/>
      <c r="AT67" s="5"/>
      <c r="AU67" s="3"/>
      <c r="AV67" s="18"/>
    </row>
    <row r="68" spans="1:48" ht="14.25" hidden="1" customHeight="1">
      <c r="A68" s="32"/>
      <c r="B68" s="15"/>
      <c r="D68" s="110"/>
      <c r="E68" s="319"/>
      <c r="F68" s="320"/>
      <c r="G68" s="320"/>
      <c r="H68" s="1913" t="s">
        <v>359</v>
      </c>
      <c r="I68" s="1914"/>
      <c r="J68" s="1914"/>
      <c r="K68" s="1914"/>
      <c r="L68" s="1914"/>
      <c r="M68" s="1914"/>
      <c r="N68" s="151">
        <f>IF(Calculations!$L$47=TRUE,IF(AND(N66="A",Calculations!$B$72=TRUE),N15,0),0)</f>
        <v>0</v>
      </c>
      <c r="O68" s="151">
        <f>IF(Calculations!$L$47=TRUE,IF(AND(O66="A",Calculations!$B$72=TRUE),O15,0),0)</f>
        <v>0</v>
      </c>
      <c r="P68" s="151">
        <f>IF(Calculations!$L$47=TRUE,IF(AND(P66="A",Calculations!$B$72=TRUE),P15,0),0)</f>
        <v>0</v>
      </c>
      <c r="Q68" s="151">
        <f>IF(Calculations!$L$47=TRUE,IF(AND(Q66="A",Calculations!$B$72=TRUE),Q15,0),0)</f>
        <v>0</v>
      </c>
      <c r="R68" s="151">
        <f>IF(Calculations!$L$47=TRUE,IF(AND(R66="A",Calculations!$B$72=TRUE),R15,0),0)</f>
        <v>0</v>
      </c>
      <c r="S68" s="151">
        <f>IF(Calculations!$L$47=TRUE,IF(AND(S66="A",Calculations!$B$72=TRUE),S15,0),0)</f>
        <v>0</v>
      </c>
      <c r="T68" s="151">
        <f>IF(Calculations!$L$47=TRUE,IF(AND(T66="A",Calculations!$B$72=TRUE),T15,0),0)</f>
        <v>0</v>
      </c>
      <c r="U68" s="151">
        <f>IF(Calculations!$L$47=TRUE,IF(AND(U66="A",Calculations!$B$72=TRUE),U15,0),0)</f>
        <v>0</v>
      </c>
      <c r="V68" s="151">
        <f>IF(Calculations!$L$47=TRUE,IF(AND(V66="A",Calculations!$B$72=TRUE),V15,0),0)</f>
        <v>0</v>
      </c>
      <c r="W68" s="151">
        <f>IF(Calculations!$L$47=TRUE,IF(AND(W66="A",Calculations!$B$72=TRUE),W15,0),0)</f>
        <v>0</v>
      </c>
      <c r="X68" s="151">
        <f>IF(Calculations!$L$47=TRUE,IF(AND(X66="A",Calculations!$B$72=TRUE),X15,0),0)</f>
        <v>0</v>
      </c>
      <c r="Y68" s="151">
        <f>IF(Calculations!$L$47=TRUE,IF(AND(Y66="A",Calculations!$B$72=TRUE),Y15,0),0)</f>
        <v>0</v>
      </c>
      <c r="Z68" s="334"/>
      <c r="AD68" s="5"/>
      <c r="AE68" s="85"/>
      <c r="AF68" s="5"/>
      <c r="AG68" s="86"/>
      <c r="AH68" s="5"/>
      <c r="AI68" s="3"/>
      <c r="AJ68" s="5"/>
      <c r="AK68" s="24"/>
      <c r="AL68" s="5"/>
      <c r="AM68" s="8"/>
      <c r="AN68" s="5"/>
      <c r="AO68" s="8"/>
      <c r="AP68" s="5"/>
      <c r="AQ68" s="3"/>
      <c r="AR68" s="5"/>
      <c r="AS68" s="6"/>
      <c r="AT68" s="5"/>
      <c r="AU68" s="3"/>
      <c r="AV68" s="18"/>
    </row>
    <row r="69" spans="1:48" ht="14.25" hidden="1" customHeight="1">
      <c r="A69" s="32"/>
      <c r="B69" s="15"/>
      <c r="D69" s="110"/>
      <c r="E69" s="319"/>
      <c r="F69" s="320"/>
      <c r="G69" s="320"/>
      <c r="H69" s="1913" t="s">
        <v>360</v>
      </c>
      <c r="I69" s="1914"/>
      <c r="J69" s="1914"/>
      <c r="K69" s="1914"/>
      <c r="L69" s="1914"/>
      <c r="M69" s="1914"/>
      <c r="N69" s="151">
        <f>IF(Calculations!$L$47=TRUE,IF(AND(N66="A",Calculations!$B$73=TRUE),N15,0),0)</f>
        <v>0</v>
      </c>
      <c r="O69" s="151">
        <f>IF(Calculations!$L$47=TRUE,IF(AND(O66="A",Calculations!$B$73=TRUE),O15,0),0)</f>
        <v>0</v>
      </c>
      <c r="P69" s="151">
        <f>IF(Calculations!$L$47=TRUE,IF(AND(P66="A",Calculations!$B$73=TRUE),P15,0),0)</f>
        <v>0</v>
      </c>
      <c r="Q69" s="151">
        <f>IF(Calculations!$L$47=TRUE,IF(AND(Q66="A",Calculations!$B$73=TRUE),Q15,0),0)</f>
        <v>0</v>
      </c>
      <c r="R69" s="151">
        <f>IF(Calculations!$L$47=TRUE,IF(AND(R66="A",Calculations!$B$73=TRUE),R15,0),0)</f>
        <v>0</v>
      </c>
      <c r="S69" s="151">
        <f>IF(Calculations!$L$47=TRUE,IF(AND(S66="A",Calculations!$B$73=TRUE),S15,0),0)</f>
        <v>0</v>
      </c>
      <c r="T69" s="151">
        <f>IF(Calculations!$L$47=TRUE,IF(AND(T66="A",Calculations!$B$73=TRUE),T15,0),0)</f>
        <v>0</v>
      </c>
      <c r="U69" s="151">
        <f>IF(Calculations!$L$47=TRUE,IF(AND(U66="A",Calculations!$B$73=TRUE),U15,0),0)</f>
        <v>0</v>
      </c>
      <c r="V69" s="151">
        <f>IF(Calculations!$L$47=TRUE,IF(AND(V66="A",Calculations!$B$73=TRUE),V15,0),0)</f>
        <v>0</v>
      </c>
      <c r="W69" s="151">
        <f>IF(Calculations!$L$47=TRUE,IF(AND(W66="A",Calculations!$B$73=TRUE),W15,0),0)</f>
        <v>0</v>
      </c>
      <c r="X69" s="151">
        <f>IF(Calculations!$L$47=TRUE,IF(AND(X66="A",Calculations!$B$73=TRUE),X15,0),0)</f>
        <v>0</v>
      </c>
      <c r="Y69" s="151">
        <f>IF(Calculations!$L$47=TRUE,IF(AND(Y66="A",Calculations!$B$73=TRUE),Y15,0),0)</f>
        <v>0</v>
      </c>
      <c r="Z69" s="334"/>
      <c r="AD69" s="5"/>
      <c r="AE69" s="85"/>
      <c r="AF69" s="5"/>
      <c r="AG69" s="86"/>
      <c r="AH69" s="5"/>
      <c r="AI69" s="3"/>
      <c r="AJ69" s="5"/>
      <c r="AK69" s="24"/>
      <c r="AL69" s="5"/>
      <c r="AM69" s="8"/>
      <c r="AN69" s="5"/>
      <c r="AO69" s="8"/>
      <c r="AP69" s="5"/>
      <c r="AQ69" s="3"/>
      <c r="AR69" s="5"/>
      <c r="AS69" s="6"/>
      <c r="AT69" s="5"/>
      <c r="AU69" s="3"/>
      <c r="AV69" s="18"/>
    </row>
    <row r="70" spans="1:48" ht="14.25" hidden="1" customHeight="1">
      <c r="A70" s="32"/>
      <c r="B70" s="15"/>
      <c r="D70" s="110"/>
      <c r="E70" s="319"/>
      <c r="F70" s="320"/>
      <c r="G70" s="320"/>
      <c r="H70" s="170"/>
      <c r="I70" s="171"/>
      <c r="J70" s="171"/>
      <c r="K70" s="171"/>
      <c r="L70" s="171"/>
      <c r="M70" s="170" t="s">
        <v>340</v>
      </c>
      <c r="N70" s="151" t="str">
        <f>IF(Calculations!$B$76=TRUE,"P",IF(Calculations!$B$91&lt;Calculations!$B$92,(IF(Calculations!$B$91&lt;=1,(IF(Calculations!$B$92&gt;=1,"A","P")),"P")),IF(Calculations!$B$92&gt;=1,"A",IF(Calculations!$B$91&lt;=1,"A","P"))))</f>
        <v>P</v>
      </c>
      <c r="O70" s="151" t="str">
        <f>IF(Calculations!$B$76=TRUE,"P",IF(Calculations!$B$91&lt;Calculations!$B$92,(IF(Calculations!$B$91&lt;=2,(IF(Calculations!$B$92&gt;=2,"A","P")),"P")),IF(Calculations!$B$92&gt;=2,"A",IF(Calculations!$B$91&lt;=2,"A","P"))))</f>
        <v>P</v>
      </c>
      <c r="P70" s="151" t="str">
        <f>IF(Calculations!$B$76=TRUE,"P",IF(Calculations!$B$91&lt;Calculations!$B$92,(IF(Calculations!$B$91&lt;=3,(IF(Calculations!$B$92&gt;=3,"A","P")),"P")),IF(Calculations!$B$92&gt;=3,"A",IF(Calculations!$B$91&lt;=3,"A","P"))))</f>
        <v>P</v>
      </c>
      <c r="Q70" s="151" t="str">
        <f>IF(Calculations!$B$76=TRUE,"P",IF(Calculations!$B$91&lt;Calculations!$B$92,(IF(Calculations!$B$91&lt;=4,(IF(Calculations!$B$92&gt;=4,"A","P")),"P")),IF(Calculations!$B$92&gt;=4,"A",IF(Calculations!$B$91&lt;=4,"A","P"))))</f>
        <v>P</v>
      </c>
      <c r="R70" s="151" t="str">
        <f>IF(Calculations!$B$76=TRUE,"P",IF(Calculations!$B$91&lt;Calculations!$B$92,(IF(Calculations!$B$91&lt;=5,(IF(Calculations!$B$92&gt;=5,"A","P")),"P")),IF(Calculations!$B$92&gt;=5,"A",IF(Calculations!$B$91&lt;=5,"A","P"))))</f>
        <v>P</v>
      </c>
      <c r="S70" s="151" t="str">
        <f>IF(Calculations!$B$76=TRUE,"P",IF(Calculations!$B$91&lt;Calculations!$B$92,(IF(Calculations!$B$91&lt;=6,(IF(Calculations!$B$92&gt;=6,"A","P")),"P")),IF(Calculations!$B$92&gt;=6,"A",IF(Calculations!$B$91&lt;=6,"A","P"))))</f>
        <v>P</v>
      </c>
      <c r="T70" s="151" t="str">
        <f>IF(Calculations!$B$76=TRUE,"P",IF(Calculations!$B$91&lt;Calculations!$B$92,(IF(Calculations!$B$91&lt;=7,(IF(Calculations!$B$92&gt;=7,"A","P")),"P")),IF(Calculations!$B$92&gt;=7,"A",IF(Calculations!$B$91&lt;=7,"A","P"))))</f>
        <v>P</v>
      </c>
      <c r="U70" s="151" t="str">
        <f>IF(Calculations!$B$76=TRUE,"P",IF(Calculations!$B$91&lt;Calculations!$B$92,(IF(Calculations!$B$91&lt;=8,(IF(Calculations!$B$92&gt;=8,"A","P")),"P")),IF(Calculations!$B$92&gt;=8,"A",IF(Calculations!$B$91&lt;=8,"A","P"))))</f>
        <v>P</v>
      </c>
      <c r="V70" s="151" t="str">
        <f>IF(Calculations!$B$76=TRUE,"P",IF(Calculations!$B$91&lt;Calculations!$B$92,(IF(Calculations!$B$91&lt;=9,(IF(Calculations!$B$92&gt;=9,"A","P")),"P")),IF(Calculations!$B$92&gt;=9,"A",IF(Calculations!$B$91&lt;=9,"A","P"))))</f>
        <v>P</v>
      </c>
      <c r="W70" s="151" t="str">
        <f>IF(Calculations!$B$76=TRUE,"P",IF(Calculations!$B$91&lt;Calculations!$B$92,(IF(Calculations!$B$91&lt;=10,(IF(Calculations!$B$92&gt;=10,"A","P")),"P")),IF(Calculations!$B$92&gt;=10,"A",IF(Calculations!$B$91&lt;=10,"A","P"))))</f>
        <v>P</v>
      </c>
      <c r="X70" s="151" t="str">
        <f>IF(Calculations!$B$76=TRUE,"P",IF(Calculations!$B$91&lt;Calculations!$B$92,(IF(Calculations!$B$91&lt;=11,(IF(Calculations!$B$92&gt;=11,"A","P")),"P")),IF(Calculations!$B$92&gt;=11,"A",IF(Calculations!$B$91&lt;=11,"A","P"))))</f>
        <v>P</v>
      </c>
      <c r="Y70" s="151" t="str">
        <f>IF(Calculations!$B$76=TRUE,"P",IF(Calculations!$B$91&lt;Calculations!$B$92,(IF(Calculations!$B$91&lt;=12,(IF(Calculations!$B$92&gt;=12,"A","P")),"P")),IF(Calculations!$B$92&gt;=12,"A",IF(Calculations!$B$91&lt;=12,"A","P"))))</f>
        <v>P</v>
      </c>
      <c r="Z70" s="334"/>
      <c r="AD70" s="5"/>
      <c r="AE70" s="85"/>
      <c r="AF70" s="5"/>
      <c r="AG70" s="86"/>
      <c r="AH70" s="5"/>
      <c r="AI70" s="3"/>
      <c r="AJ70" s="5"/>
      <c r="AK70" s="24"/>
      <c r="AL70" s="5"/>
      <c r="AM70" s="8"/>
      <c r="AN70" s="5"/>
      <c r="AO70" s="8"/>
      <c r="AP70" s="5"/>
      <c r="AQ70" s="3"/>
      <c r="AR70" s="5"/>
      <c r="AS70" s="6"/>
      <c r="AT70" s="5"/>
      <c r="AU70" s="3"/>
      <c r="AV70" s="18"/>
    </row>
    <row r="71" spans="1:48" ht="14.25" hidden="1" customHeight="1">
      <c r="A71" s="32"/>
      <c r="B71" s="15"/>
      <c r="D71" s="110"/>
      <c r="E71" s="319"/>
      <c r="F71" s="320"/>
      <c r="G71" s="320"/>
      <c r="H71" s="1913" t="s">
        <v>337</v>
      </c>
      <c r="I71" s="1914"/>
      <c r="J71" s="1914"/>
      <c r="K71" s="1914"/>
      <c r="L71" s="1914"/>
      <c r="M71" s="1914"/>
      <c r="N71" s="151">
        <f>IF(Calculations!$L$48=TRUE,IF(N70="P",N17,0),0)</f>
        <v>0</v>
      </c>
      <c r="O71" s="151">
        <f>IF(Calculations!$L$48=TRUE,IF(O70="P",O17,0),0)</f>
        <v>0</v>
      </c>
      <c r="P71" s="151">
        <f>IF(Calculations!$L$48=TRUE,IF(P70="P",P17,0),0)</f>
        <v>0</v>
      </c>
      <c r="Q71" s="151">
        <f>IF(Calculations!$L$48=TRUE,IF(Q70="P",Q17,0),0)</f>
        <v>0</v>
      </c>
      <c r="R71" s="151">
        <f>IF(Calculations!$L$48=TRUE,IF(R70="P",R17,0),0)</f>
        <v>0</v>
      </c>
      <c r="S71" s="151">
        <f>IF(Calculations!$L$48=TRUE,IF(S70="P",S17,0),0)</f>
        <v>0</v>
      </c>
      <c r="T71" s="151">
        <f>IF(Calculations!$L$48=TRUE,IF(T70="P",T17,0),0)</f>
        <v>0</v>
      </c>
      <c r="U71" s="151">
        <f>IF(Calculations!$L$48=TRUE,IF(U70="P",U17,0),0)</f>
        <v>0</v>
      </c>
      <c r="V71" s="151">
        <f>IF(Calculations!$L$48=TRUE,IF(V70="P",V17,0),0)</f>
        <v>0</v>
      </c>
      <c r="W71" s="151">
        <f>IF(Calculations!$L$48=TRUE,IF(W70="P",W17,0),0)</f>
        <v>0</v>
      </c>
      <c r="X71" s="151">
        <f>IF(Calculations!$L$48=TRUE,IF(X70="P",X17,0),0)</f>
        <v>0</v>
      </c>
      <c r="Y71" s="151">
        <f>IF(Calculations!$L$48=TRUE,IF(Y70="P",Y17,0),0)</f>
        <v>0</v>
      </c>
      <c r="Z71" s="334"/>
      <c r="AD71" s="5"/>
      <c r="AE71" s="85"/>
      <c r="AF71" s="5"/>
      <c r="AG71" s="86"/>
      <c r="AH71" s="5"/>
      <c r="AI71" s="3"/>
      <c r="AJ71" s="5"/>
      <c r="AK71" s="24"/>
      <c r="AL71" s="5"/>
      <c r="AM71" s="8"/>
      <c r="AN71" s="5"/>
      <c r="AO71" s="8"/>
      <c r="AP71" s="5"/>
      <c r="AQ71" s="3"/>
      <c r="AR71" s="5"/>
      <c r="AS71" s="6"/>
      <c r="AT71" s="5"/>
      <c r="AU71" s="3"/>
      <c r="AV71" s="18"/>
    </row>
    <row r="72" spans="1:48" ht="14.25" hidden="1" customHeight="1">
      <c r="A72" s="32"/>
      <c r="B72" s="15"/>
      <c r="D72" s="110"/>
      <c r="E72" s="319"/>
      <c r="F72" s="320"/>
      <c r="G72" s="320"/>
      <c r="H72" s="1913" t="s">
        <v>361</v>
      </c>
      <c r="I72" s="1914"/>
      <c r="J72" s="1914"/>
      <c r="K72" s="1914"/>
      <c r="L72" s="1914"/>
      <c r="M72" s="1914"/>
      <c r="N72" s="151">
        <f>IF(Calculations!$L$48=TRUE,IF(AND(N70="A",Calculations!$B$77=TRUE),N17,0),0)</f>
        <v>0</v>
      </c>
      <c r="O72" s="151">
        <f>IF(Calculations!$L$48=TRUE,IF(AND(O70="A",Calculations!$B$77=TRUE),O17,0),0)</f>
        <v>0</v>
      </c>
      <c r="P72" s="151">
        <f>IF(Calculations!$L$48=TRUE,IF(AND(P70="A",Calculations!$B$77=TRUE),P17,0),0)</f>
        <v>0</v>
      </c>
      <c r="Q72" s="151">
        <f>IF(Calculations!$L$48=TRUE,IF(AND(Q70="A",Calculations!$B$77=TRUE),Q17,0),0)</f>
        <v>0</v>
      </c>
      <c r="R72" s="151">
        <f>IF(Calculations!$L$48=TRUE,IF(AND(R70="A",Calculations!$B$77=TRUE),R17,0),0)</f>
        <v>0</v>
      </c>
      <c r="S72" s="151">
        <f>IF(Calculations!$L$48=TRUE,IF(AND(S70="A",Calculations!$B$77=TRUE),S17,0),0)</f>
        <v>0</v>
      </c>
      <c r="T72" s="151">
        <f>IF(Calculations!$L$48=TRUE,IF(AND(T70="A",Calculations!$B$77=TRUE),T17,0),0)</f>
        <v>0</v>
      </c>
      <c r="U72" s="151">
        <f>IF(Calculations!$L$48=TRUE,IF(AND(U70="A",Calculations!$B$77=TRUE),U17,0),0)</f>
        <v>0</v>
      </c>
      <c r="V72" s="151">
        <f>IF(Calculations!$L$48=TRUE,IF(AND(V70="A",Calculations!$B$77=TRUE),V17,0),0)</f>
        <v>0</v>
      </c>
      <c r="W72" s="151">
        <f>IF(Calculations!$L$48=TRUE,IF(AND(W70="A",Calculations!$B$77=TRUE),W17,0),0)</f>
        <v>0</v>
      </c>
      <c r="X72" s="151">
        <f>IF(Calculations!$L$48=TRUE,IF(AND(X70="A",Calculations!$B$77=TRUE),X17,0),0)</f>
        <v>0</v>
      </c>
      <c r="Y72" s="151">
        <f>IF(Calculations!$L$48=TRUE,IF(AND(Y70="A",Calculations!$B$77=TRUE),Y17,0),0)</f>
        <v>0</v>
      </c>
      <c r="Z72" s="334"/>
      <c r="AD72" s="5"/>
      <c r="AE72" s="85"/>
      <c r="AF72" s="5"/>
      <c r="AG72" s="86"/>
      <c r="AH72" s="5"/>
      <c r="AI72" s="3"/>
      <c r="AJ72" s="5"/>
      <c r="AK72" s="24"/>
      <c r="AL72" s="5"/>
      <c r="AM72" s="8"/>
      <c r="AN72" s="5"/>
      <c r="AO72" s="8"/>
      <c r="AP72" s="5"/>
      <c r="AQ72" s="3"/>
      <c r="AR72" s="5"/>
      <c r="AS72" s="6"/>
      <c r="AT72" s="5"/>
      <c r="AU72" s="3"/>
      <c r="AV72" s="18"/>
    </row>
    <row r="73" spans="1:48" ht="14.25" hidden="1" customHeight="1">
      <c r="A73" s="32"/>
      <c r="B73" s="15"/>
      <c r="D73" s="110"/>
      <c r="E73" s="319"/>
      <c r="F73" s="320"/>
      <c r="G73" s="320"/>
      <c r="H73" s="1913" t="s">
        <v>362</v>
      </c>
      <c r="I73" s="1914"/>
      <c r="J73" s="1914"/>
      <c r="K73" s="1914"/>
      <c r="L73" s="1914"/>
      <c r="M73" s="1914"/>
      <c r="N73" s="151">
        <f>IF(Calculations!$L$48=TRUE,IF(AND(N70="A",Calculations!$B$78=TRUE),N17,0),0)</f>
        <v>0</v>
      </c>
      <c r="O73" s="151">
        <f>IF(Calculations!$L$48=TRUE,IF(AND(O70="A",Calculations!$B$78=TRUE),O17,0),0)</f>
        <v>0</v>
      </c>
      <c r="P73" s="151">
        <f>IF(Calculations!$L$48=TRUE,IF(AND(P70="A",Calculations!$B$78=TRUE),P17,0),0)</f>
        <v>0</v>
      </c>
      <c r="Q73" s="151">
        <f>IF(Calculations!$L$48=TRUE,IF(AND(Q70="A",Calculations!$B$78=TRUE),Q17,0),0)</f>
        <v>0</v>
      </c>
      <c r="R73" s="151">
        <f>IF(Calculations!$L$48=TRUE,IF(AND(R70="A",Calculations!$B$78=TRUE),R17,0),0)</f>
        <v>0</v>
      </c>
      <c r="S73" s="151">
        <f>IF(Calculations!$L$48=TRUE,IF(AND(S70="A",Calculations!$B$78=TRUE),S17,0),0)</f>
        <v>0</v>
      </c>
      <c r="T73" s="151">
        <f>IF(Calculations!$L$48=TRUE,IF(AND(T70="A",Calculations!$B$78=TRUE),T17,0),0)</f>
        <v>0</v>
      </c>
      <c r="U73" s="151">
        <f>IF(Calculations!$L$48=TRUE,IF(AND(U70="A",Calculations!$B$78=TRUE),U17,0),0)</f>
        <v>0</v>
      </c>
      <c r="V73" s="151">
        <f>IF(Calculations!$L$48=TRUE,IF(AND(V70="A",Calculations!$B$78=TRUE),V17,0),0)</f>
        <v>0</v>
      </c>
      <c r="W73" s="151">
        <f>IF(Calculations!$L$48=TRUE,IF(AND(W70="A",Calculations!$B$78=TRUE),W17,0),0)</f>
        <v>0</v>
      </c>
      <c r="X73" s="151">
        <f>IF(Calculations!$L$48=TRUE,IF(AND(X70="A",Calculations!$B$78=TRUE),X17,0),0)</f>
        <v>0</v>
      </c>
      <c r="Y73" s="151">
        <f>IF(Calculations!$L$48=TRUE,IF(AND(Y70="A",Calculations!$B$78=TRUE),Y17,0),0)</f>
        <v>0</v>
      </c>
      <c r="Z73" s="334"/>
      <c r="AD73" s="5"/>
      <c r="AE73" s="85"/>
      <c r="AF73" s="5"/>
      <c r="AG73" s="86"/>
      <c r="AH73" s="5"/>
      <c r="AI73" s="3"/>
      <c r="AJ73" s="5"/>
      <c r="AK73" s="24"/>
      <c r="AL73" s="5"/>
      <c r="AM73" s="8"/>
      <c r="AN73" s="5"/>
      <c r="AO73" s="8"/>
      <c r="AP73" s="5"/>
      <c r="AQ73" s="3"/>
      <c r="AR73" s="5"/>
      <c r="AS73" s="6"/>
      <c r="AT73" s="5"/>
      <c r="AU73" s="3"/>
      <c r="AV73" s="18"/>
    </row>
    <row r="74" spans="1:48" ht="14.25" hidden="1" customHeight="1">
      <c r="A74" s="32"/>
      <c r="B74" s="15"/>
      <c r="D74" s="110"/>
      <c r="E74" s="319"/>
      <c r="F74" s="320"/>
      <c r="G74" s="320"/>
      <c r="H74" s="170"/>
      <c r="I74" s="171"/>
      <c r="J74" s="171"/>
      <c r="K74" s="171"/>
      <c r="L74" s="171"/>
      <c r="M74" s="170" t="s">
        <v>341</v>
      </c>
      <c r="N74" s="151" t="str">
        <f>IF(Calculations!$B$81=TRUE,"P",IF(Calculations!$B$95&lt;Calculations!$B$96,(IF(Calculations!$B$95&lt;=1,(IF(Calculations!$B$96&gt;=1,"A","P")),"P")),IF(Calculations!$B$96&gt;=1,"A",IF(Calculations!$B$95&lt;=1,"A","P"))))</f>
        <v>P</v>
      </c>
      <c r="O74" s="151" t="str">
        <f>IF(Calculations!$B$81=TRUE,"P",IF(Calculations!$B$95&lt;Calculations!$B$96,(IF(Calculations!$B$95&lt;=2,(IF(Calculations!$B$96&gt;=2,"A","P")),"P")),IF(Calculations!$B$96&gt;=2,"A",IF(Calculations!$B$95&lt;=2,"A","P"))))</f>
        <v>P</v>
      </c>
      <c r="P74" s="151" t="str">
        <f>IF(Calculations!$B$81=TRUE,"P",IF(Calculations!$B$95&lt;Calculations!$B$96,(IF(Calculations!$B$95&lt;=3,(IF(Calculations!$B$96&gt;=3,"A","P")),"P")),IF(Calculations!$B$96&gt;=3,"A",IF(Calculations!$B$95&lt;=3,"A","P"))))</f>
        <v>P</v>
      </c>
      <c r="Q74" s="151" t="str">
        <f>IF(Calculations!$B$81=TRUE,"P",IF(Calculations!$B$95&lt;Calculations!$B$96,(IF(Calculations!$B$95&lt;=4,(IF(Calculations!$B$96&gt;=4,"A","P")),"P")),IF(Calculations!$B$96&gt;=4,"A",IF(Calculations!$B$95&lt;=4,"A","P"))))</f>
        <v>P</v>
      </c>
      <c r="R74" s="151" t="str">
        <f>IF(Calculations!$B$81=TRUE,"P",IF(Calculations!$B$95&lt;Calculations!$B$96,(IF(Calculations!$B$95&lt;=5,(IF(Calculations!$B$96&gt;=5,"A","P")),"P")),IF(Calculations!$B$96&gt;=5,"A",IF(Calculations!$B$95&lt;=5,"A","P"))))</f>
        <v>P</v>
      </c>
      <c r="S74" s="151" t="str">
        <f>IF(Calculations!$B$81=TRUE,"P",IF(Calculations!$B$95&lt;Calculations!$B$96,(IF(Calculations!$B$95&lt;=6,(IF(Calculations!$B$96&gt;=6,"A","P")),"P")),IF(Calculations!$B$96&gt;=6,"A",IF(Calculations!$B$95&lt;=6,"A","P"))))</f>
        <v>P</v>
      </c>
      <c r="T74" s="151" t="str">
        <f>IF(Calculations!$B$81=TRUE,"P",IF(Calculations!$B$95&lt;Calculations!$B$96,(IF(Calculations!$B$95&lt;=7,(IF(Calculations!$B$96&gt;=7,"A","P")),"P")),IF(Calculations!$B$96&gt;=7,"A",IF(Calculations!$B$95&lt;=7,"A","P"))))</f>
        <v>P</v>
      </c>
      <c r="U74" s="151" t="str">
        <f>IF(Calculations!$B$81=TRUE,"P",IF(Calculations!$B$95&lt;Calculations!$B$96,(IF(Calculations!$B$95&lt;=8,(IF(Calculations!$B$96&gt;=8,"A","P")),"P")),IF(Calculations!$B$96&gt;=8,"A",IF(Calculations!$B$95&lt;=8,"A","P"))))</f>
        <v>P</v>
      </c>
      <c r="V74" s="151" t="str">
        <f>IF(Calculations!$B$81=TRUE,"P",IF(Calculations!$B$95&lt;Calculations!$B$96,(IF(Calculations!$B$95&lt;=9,(IF(Calculations!$B$96&gt;=9,"A","P")),"P")),IF(Calculations!$B$96&gt;=9,"A",IF(Calculations!$B$95&lt;=9,"A","P"))))</f>
        <v>P</v>
      </c>
      <c r="W74" s="151" t="str">
        <f>IF(Calculations!$B$81=TRUE,"P",IF(Calculations!$B$95&lt;Calculations!$B$96,(IF(Calculations!$B$95&lt;=10,(IF(Calculations!$B$96&gt;=10,"A","P")),"P")),IF(Calculations!$B$96&gt;=10,"A",IF(Calculations!$B$95&lt;=10,"A","P"))))</f>
        <v>P</v>
      </c>
      <c r="X74" s="151" t="str">
        <f>IF(Calculations!$B$81=TRUE,"P",IF(Calculations!$B$95&lt;Calculations!$B$96,(IF(Calculations!$B$95&lt;=11,(IF(Calculations!$B$96&gt;=11,"A","P")),"P")),IF(Calculations!$B$96&gt;=11,"A",IF(Calculations!$B$95&lt;=11,"A","P"))))</f>
        <v>P</v>
      </c>
      <c r="Y74" s="151" t="str">
        <f>IF(Calculations!$B$81=TRUE,"P",IF(Calculations!$B$95&lt;Calculations!$B$96,(IF(Calculations!$B$95&lt;=12,(IF(Calculations!$B$96&gt;=12,"A","P")),"P")),IF(Calculations!$B$96&gt;=12,"A",IF(Calculations!$B$95&lt;=12,"A","P"))))</f>
        <v>P</v>
      </c>
      <c r="Z74" s="334"/>
      <c r="AD74" s="5"/>
      <c r="AE74" s="85"/>
      <c r="AF74" s="5"/>
      <c r="AG74" s="86"/>
      <c r="AH74" s="5"/>
      <c r="AI74" s="3"/>
      <c r="AJ74" s="5"/>
      <c r="AK74" s="24"/>
      <c r="AL74" s="5"/>
      <c r="AM74" s="8"/>
      <c r="AN74" s="5"/>
      <c r="AO74" s="8"/>
      <c r="AP74" s="5"/>
      <c r="AQ74" s="3"/>
      <c r="AR74" s="5"/>
      <c r="AS74" s="6"/>
      <c r="AT74" s="5"/>
      <c r="AU74" s="3"/>
      <c r="AV74" s="18"/>
    </row>
    <row r="75" spans="1:48" ht="14.25" hidden="1" customHeight="1">
      <c r="A75" s="32"/>
      <c r="B75" s="15"/>
      <c r="D75" s="110"/>
      <c r="E75" s="319"/>
      <c r="F75" s="320"/>
      <c r="G75" s="320"/>
      <c r="H75" s="1913" t="s">
        <v>338</v>
      </c>
      <c r="I75" s="1914"/>
      <c r="J75" s="1914"/>
      <c r="K75" s="1914"/>
      <c r="L75" s="1914"/>
      <c r="M75" s="1914"/>
      <c r="N75" s="151">
        <f>IF(Calculations!$L$49=TRUE,IF(N74="P",N19,0),0)</f>
        <v>0</v>
      </c>
      <c r="O75" s="151">
        <f>IF(Calculations!$L$49=TRUE,IF(O74="P",O19,0),0)</f>
        <v>0</v>
      </c>
      <c r="P75" s="151">
        <f>IF(Calculations!$L$49=TRUE,IF(P74="P",P19,0),0)</f>
        <v>0</v>
      </c>
      <c r="Q75" s="151">
        <f>IF(Calculations!$L$49=TRUE,IF(Q74="P",Q19,0),0)</f>
        <v>0</v>
      </c>
      <c r="R75" s="151">
        <f>IF(Calculations!$L$49=TRUE,IF(R74="P",R19,0),0)</f>
        <v>0</v>
      </c>
      <c r="S75" s="151">
        <f>IF(Calculations!$L$49=TRUE,IF(S74="P",S19,0),0)</f>
        <v>0</v>
      </c>
      <c r="T75" s="151">
        <f>IF(Calculations!$L$49=TRUE,IF(T74="P",T19,0),0)</f>
        <v>0</v>
      </c>
      <c r="U75" s="151">
        <f>IF(Calculations!$L$49=TRUE,IF(U74="P",U19,0),0)</f>
        <v>0</v>
      </c>
      <c r="V75" s="151">
        <f>IF(Calculations!$L$49=TRUE,IF(V74="P",V19,0),0)</f>
        <v>0</v>
      </c>
      <c r="W75" s="151">
        <f>IF(Calculations!$L$49=TRUE,IF(W74="P",W19,0),0)</f>
        <v>0</v>
      </c>
      <c r="X75" s="151">
        <f>IF(Calculations!$L$49=TRUE,IF(X74="P",X19,0),0)</f>
        <v>0</v>
      </c>
      <c r="Y75" s="151">
        <f>IF(Calculations!$L$49=TRUE,IF(Y74="P",Y19,0),0)</f>
        <v>0</v>
      </c>
      <c r="Z75" s="334"/>
      <c r="AD75" s="5"/>
      <c r="AE75" s="85"/>
      <c r="AF75" s="5"/>
      <c r="AG75" s="86"/>
      <c r="AH75" s="5"/>
      <c r="AI75" s="3"/>
      <c r="AJ75" s="5"/>
      <c r="AK75" s="24"/>
      <c r="AL75" s="5"/>
      <c r="AM75" s="8"/>
      <c r="AN75" s="5"/>
      <c r="AO75" s="8"/>
      <c r="AP75" s="5"/>
      <c r="AQ75" s="3"/>
      <c r="AR75" s="5"/>
      <c r="AS75" s="6"/>
      <c r="AT75" s="5"/>
      <c r="AU75" s="3"/>
      <c r="AV75" s="18"/>
    </row>
    <row r="76" spans="1:48" ht="14.25" hidden="1" customHeight="1">
      <c r="A76" s="32"/>
      <c r="B76" s="15"/>
      <c r="D76" s="110"/>
      <c r="E76" s="319"/>
      <c r="F76" s="320"/>
      <c r="G76" s="320"/>
      <c r="H76" s="1913" t="s">
        <v>363</v>
      </c>
      <c r="I76" s="1914"/>
      <c r="J76" s="1914"/>
      <c r="K76" s="1914"/>
      <c r="L76" s="1914"/>
      <c r="M76" s="1914"/>
      <c r="N76" s="151">
        <f>IF(Calculations!$L$49=TRUE,IF(AND(N74="A",Calculations!$B$82=TRUE),N19,0),0)</f>
        <v>0</v>
      </c>
      <c r="O76" s="151">
        <f>IF(Calculations!$L$49=TRUE,IF(AND(O74="A",Calculations!$B$82=TRUE),O19,0),0)</f>
        <v>0</v>
      </c>
      <c r="P76" s="151">
        <f>IF(Calculations!$L$49=TRUE,IF(AND(P74="A",Calculations!$B$82=TRUE),P19,0),0)</f>
        <v>0</v>
      </c>
      <c r="Q76" s="151">
        <f>IF(Calculations!$L$49=TRUE,IF(AND(Q74="A",Calculations!$B$82=TRUE),Q19,0),0)</f>
        <v>0</v>
      </c>
      <c r="R76" s="151">
        <f>IF(Calculations!$L$49=TRUE,IF(AND(R74="A",Calculations!$B$82=TRUE),R19,0),0)</f>
        <v>0</v>
      </c>
      <c r="S76" s="151">
        <f>IF(Calculations!$L$49=TRUE,IF(AND(S74="A",Calculations!$B$82=TRUE),S19,0),0)</f>
        <v>0</v>
      </c>
      <c r="T76" s="151">
        <f>IF(Calculations!$L$49=TRUE,IF(AND(T74="A",Calculations!$B$82=TRUE),T19,0),0)</f>
        <v>0</v>
      </c>
      <c r="U76" s="151">
        <f>IF(Calculations!$L$49=TRUE,IF(AND(U74="A",Calculations!$B$82=TRUE),U19,0),0)</f>
        <v>0</v>
      </c>
      <c r="V76" s="151">
        <f>IF(Calculations!$L$49=TRUE,IF(AND(V74="A",Calculations!$B$82=TRUE),V19,0),0)</f>
        <v>0</v>
      </c>
      <c r="W76" s="151">
        <f>IF(Calculations!$L$49=TRUE,IF(AND(W74="A",Calculations!$B$82=TRUE),W19,0),0)</f>
        <v>0</v>
      </c>
      <c r="X76" s="151">
        <f>IF(Calculations!$L$49=TRUE,IF(AND(X74="A",Calculations!$B$82=TRUE),X19,0),0)</f>
        <v>0</v>
      </c>
      <c r="Y76" s="151">
        <f>IF(Calculations!$L$49=TRUE,IF(AND(Y74="A",Calculations!$B$82=TRUE),Y19,0),0)</f>
        <v>0</v>
      </c>
      <c r="Z76" s="334"/>
      <c r="AD76" s="5"/>
      <c r="AE76" s="85"/>
      <c r="AF76" s="5"/>
      <c r="AG76" s="86"/>
      <c r="AH76" s="5"/>
      <c r="AI76" s="3"/>
      <c r="AJ76" s="5"/>
      <c r="AK76" s="24"/>
      <c r="AL76" s="5"/>
      <c r="AM76" s="8"/>
      <c r="AN76" s="5"/>
      <c r="AO76" s="8"/>
      <c r="AP76" s="5"/>
      <c r="AQ76" s="3"/>
      <c r="AR76" s="5"/>
      <c r="AS76" s="6"/>
      <c r="AT76" s="5"/>
      <c r="AU76" s="3"/>
      <c r="AV76" s="18"/>
    </row>
    <row r="77" spans="1:48" ht="14.25" hidden="1" customHeight="1">
      <c r="A77" s="32"/>
      <c r="B77" s="15"/>
      <c r="D77" s="110"/>
      <c r="E77" s="319"/>
      <c r="F77" s="320"/>
      <c r="G77" s="320"/>
      <c r="H77" s="1913" t="s">
        <v>364</v>
      </c>
      <c r="I77" s="1914"/>
      <c r="J77" s="1914"/>
      <c r="K77" s="1914"/>
      <c r="L77" s="1914"/>
      <c r="M77" s="1914"/>
      <c r="N77" s="151">
        <f>IF(Calculations!$L$49=TRUE,IF(AND(N74="A",Calculations!$B$83=TRUE),N19,0),0)</f>
        <v>0</v>
      </c>
      <c r="O77" s="151">
        <f>IF(Calculations!$L$49=TRUE,IF(AND(O74="A",Calculations!$B$83=TRUE),O19,0),0)</f>
        <v>0</v>
      </c>
      <c r="P77" s="151">
        <f>IF(Calculations!$L$49=TRUE,IF(AND(P74="A",Calculations!$B$83=TRUE),P19,0),0)</f>
        <v>0</v>
      </c>
      <c r="Q77" s="151">
        <f>IF(Calculations!$L$49=TRUE,IF(AND(Q74="A",Calculations!$B$83=TRUE),Q19,0),0)</f>
        <v>0</v>
      </c>
      <c r="R77" s="151">
        <f>IF(Calculations!$L$49=TRUE,IF(AND(R74="A",Calculations!$B$83=TRUE),R19,0),0)</f>
        <v>0</v>
      </c>
      <c r="S77" s="151">
        <f>IF(Calculations!$L$49=TRUE,IF(AND(S74="A",Calculations!$B$83=TRUE),S19,0),0)</f>
        <v>0</v>
      </c>
      <c r="T77" s="151">
        <f>IF(Calculations!$L$49=TRUE,IF(AND(T74="A",Calculations!$B$83=TRUE),T19,0),0)</f>
        <v>0</v>
      </c>
      <c r="U77" s="151">
        <f>IF(Calculations!$L$49=TRUE,IF(AND(U74="A",Calculations!$B$83=TRUE),U19,0),0)</f>
        <v>0</v>
      </c>
      <c r="V77" s="151">
        <f>IF(Calculations!$L$49=TRUE,IF(AND(V74="A",Calculations!$B$83=TRUE),V19,0),0)</f>
        <v>0</v>
      </c>
      <c r="W77" s="151">
        <f>IF(Calculations!$L$49=TRUE,IF(AND(W74="A",Calculations!$B$83=TRUE),W19,0),0)</f>
        <v>0</v>
      </c>
      <c r="X77" s="151">
        <f>IF(Calculations!$L$49=TRUE,IF(AND(X74="A",Calculations!$B$83=TRUE),X19,0),0)</f>
        <v>0</v>
      </c>
      <c r="Y77" s="151">
        <f>IF(Calculations!$L$49=TRUE,IF(AND(Y74="A",Calculations!$B$83=TRUE),Y19,0),0)</f>
        <v>0</v>
      </c>
      <c r="Z77" s="334"/>
      <c r="AD77" s="5"/>
      <c r="AE77" s="85"/>
      <c r="AF77" s="5"/>
      <c r="AG77" s="86"/>
      <c r="AH77" s="5"/>
      <c r="AI77" s="3"/>
      <c r="AJ77" s="5"/>
      <c r="AK77" s="24"/>
      <c r="AL77" s="5"/>
      <c r="AM77" s="8"/>
      <c r="AN77" s="5"/>
      <c r="AO77" s="8"/>
      <c r="AP77" s="5"/>
      <c r="AQ77" s="3"/>
      <c r="AR77" s="5"/>
      <c r="AS77" s="6"/>
      <c r="AT77" s="5"/>
      <c r="AU77" s="3"/>
      <c r="AV77" s="18"/>
    </row>
    <row r="78" spans="1:48" ht="14.25" hidden="1" customHeight="1">
      <c r="A78" s="32"/>
      <c r="B78" s="15"/>
      <c r="D78" s="110"/>
      <c r="E78" s="319"/>
      <c r="F78" s="320"/>
      <c r="G78" s="320"/>
      <c r="H78" s="152"/>
      <c r="I78" s="100"/>
      <c r="J78" s="100"/>
      <c r="K78" s="100"/>
      <c r="L78" s="148"/>
      <c r="M78" s="100"/>
      <c r="N78" s="151"/>
      <c r="O78" s="151"/>
      <c r="P78" s="151"/>
      <c r="Q78" s="151"/>
      <c r="R78" s="151"/>
      <c r="S78" s="151"/>
      <c r="T78" s="151"/>
      <c r="U78" s="151"/>
      <c r="V78" s="151"/>
      <c r="W78" s="151"/>
      <c r="X78" s="151"/>
      <c r="Y78" s="151"/>
      <c r="Z78" s="334"/>
      <c r="AD78" s="5"/>
      <c r="AE78" s="85"/>
      <c r="AF78" s="5"/>
      <c r="AG78" s="86"/>
      <c r="AH78" s="5"/>
      <c r="AI78" s="3"/>
      <c r="AJ78" s="5"/>
      <c r="AK78" s="24"/>
      <c r="AL78" s="5"/>
      <c r="AM78" s="8"/>
      <c r="AN78" s="5"/>
      <c r="AO78" s="8"/>
      <c r="AP78" s="5"/>
      <c r="AQ78" s="3"/>
      <c r="AR78" s="5"/>
      <c r="AS78" s="6"/>
      <c r="AT78" s="5"/>
      <c r="AU78" s="3"/>
      <c r="AV78" s="18"/>
    </row>
    <row r="79" spans="1:48" ht="14.25" hidden="1" customHeight="1">
      <c r="A79" s="32"/>
      <c r="B79" s="15"/>
      <c r="D79" s="110"/>
      <c r="E79" s="319"/>
      <c r="F79" s="320"/>
      <c r="G79" s="320"/>
      <c r="H79" s="152"/>
      <c r="I79" s="100"/>
      <c r="J79" s="100"/>
      <c r="K79" s="100"/>
      <c r="L79" s="148"/>
      <c r="M79" s="169" t="s">
        <v>55</v>
      </c>
      <c r="N79" s="151"/>
      <c r="O79" s="151"/>
      <c r="P79" s="151"/>
      <c r="Q79" s="151"/>
      <c r="R79" s="151"/>
      <c r="S79" s="151"/>
      <c r="T79" s="151"/>
      <c r="U79" s="151"/>
      <c r="V79" s="151"/>
      <c r="W79" s="151"/>
      <c r="X79" s="151"/>
      <c r="Y79" s="151"/>
      <c r="Z79" s="334"/>
      <c r="AD79" s="5"/>
      <c r="AE79" s="85"/>
      <c r="AF79" s="5"/>
      <c r="AG79" s="86"/>
      <c r="AH79" s="5"/>
      <c r="AI79" s="3"/>
      <c r="AJ79" s="5"/>
      <c r="AK79" s="24"/>
      <c r="AL79" s="5"/>
      <c r="AM79" s="8"/>
      <c r="AN79" s="5"/>
      <c r="AO79" s="8"/>
      <c r="AP79" s="5"/>
      <c r="AQ79" s="3"/>
      <c r="AR79" s="5"/>
      <c r="AS79" s="6"/>
      <c r="AT79" s="5"/>
      <c r="AU79" s="3"/>
      <c r="AV79" s="18"/>
    </row>
    <row r="80" spans="1:48" ht="14.25" hidden="1" customHeight="1">
      <c r="A80" s="32"/>
      <c r="B80" s="15"/>
      <c r="D80" s="110"/>
      <c r="E80" s="319"/>
      <c r="F80" s="320"/>
      <c r="G80" s="320"/>
      <c r="H80" s="152"/>
      <c r="I80" s="100"/>
      <c r="J80" s="100"/>
      <c r="K80" s="100"/>
      <c r="L80" s="148"/>
      <c r="M80" s="167" t="s">
        <v>339</v>
      </c>
      <c r="N80" s="151" t="str">
        <f>IF(Calculations!$L$50=TRUE,Q21,"")</f>
        <v/>
      </c>
      <c r="O80" s="151" t="str">
        <f>IF(Calculations!$L$50=TRUE,R21,"")</f>
        <v/>
      </c>
      <c r="P80" s="151" t="str">
        <f>IF(Calculations!$L$50=TRUE,S21,"")</f>
        <v/>
      </c>
      <c r="Q80" s="151" t="str">
        <f>IF(Calculations!$L$50=TRUE,T21,"")</f>
        <v/>
      </c>
      <c r="R80" s="151" t="str">
        <f>IF(Calculations!$L$50=TRUE,U21,"")</f>
        <v/>
      </c>
      <c r="S80" s="151" t="str">
        <f>IF(Calculations!$L$50=TRUE,V21,"")</f>
        <v/>
      </c>
      <c r="T80" s="151" t="str">
        <f>IF(Calculations!$L$50=TRUE,W21,"")</f>
        <v/>
      </c>
      <c r="U80" s="151" t="str">
        <f>IF(Calculations!$L$50=TRUE,X21,"")</f>
        <v/>
      </c>
      <c r="V80" s="151" t="str">
        <f>IF(Calculations!$L$50=TRUE,Y21,"")</f>
        <v/>
      </c>
      <c r="W80" s="151" t="str">
        <f>IF(Calculations!$L$50=TRUE,N21,"")</f>
        <v/>
      </c>
      <c r="X80" s="151" t="str">
        <f>IF(Calculations!$L$50=TRUE,O21,"")</f>
        <v/>
      </c>
      <c r="Y80" s="151" t="str">
        <f>IF(Calculations!$L$50=TRUE,P21,"")</f>
        <v/>
      </c>
      <c r="Z80" s="334"/>
      <c r="AD80" s="5"/>
      <c r="AE80" s="85"/>
      <c r="AF80" s="5"/>
      <c r="AG80" s="86"/>
      <c r="AH80" s="5"/>
      <c r="AI80" s="3"/>
      <c r="AJ80" s="5"/>
      <c r="AK80" s="24"/>
      <c r="AL80" s="5"/>
      <c r="AM80" s="8"/>
      <c r="AN80" s="5"/>
      <c r="AO80" s="8"/>
      <c r="AP80" s="5"/>
      <c r="AQ80" s="3"/>
      <c r="AR80" s="5"/>
      <c r="AS80" s="6"/>
      <c r="AT80" s="5"/>
      <c r="AU80" s="3"/>
      <c r="AV80" s="18"/>
    </row>
    <row r="81" spans="1:48" ht="14.25" hidden="1" customHeight="1">
      <c r="A81" s="32"/>
      <c r="B81" s="15"/>
      <c r="D81" s="110"/>
      <c r="E81" s="319"/>
      <c r="F81" s="320"/>
      <c r="G81" s="320"/>
      <c r="H81" s="152"/>
      <c r="I81" s="100"/>
      <c r="J81" s="100"/>
      <c r="K81" s="100"/>
      <c r="L81" s="148"/>
      <c r="M81" s="167" t="s">
        <v>340</v>
      </c>
      <c r="N81" s="151" t="str">
        <f>IF(Calculations!$L$51=TRUE,Q23,"")</f>
        <v/>
      </c>
      <c r="O81" s="151" t="str">
        <f>IF(Calculations!$L$51=TRUE,R23,"")</f>
        <v/>
      </c>
      <c r="P81" s="151" t="str">
        <f>IF(Calculations!$L$51=TRUE,S23,"")</f>
        <v/>
      </c>
      <c r="Q81" s="151" t="str">
        <f>IF(Calculations!$L$51=TRUE,T23,"")</f>
        <v/>
      </c>
      <c r="R81" s="151" t="str">
        <f>IF(Calculations!$L$51=TRUE,U23,"")</f>
        <v/>
      </c>
      <c r="S81" s="151" t="str">
        <f>IF(Calculations!$L$51=TRUE,V23,"")</f>
        <v/>
      </c>
      <c r="T81" s="151" t="str">
        <f>IF(Calculations!$L$51=TRUE,W23,"")</f>
        <v/>
      </c>
      <c r="U81" s="151" t="str">
        <f>IF(Calculations!$L$51=TRUE,X23,"")</f>
        <v/>
      </c>
      <c r="V81" s="151" t="str">
        <f>IF(Calculations!$L$51=TRUE,Y23,"")</f>
        <v/>
      </c>
      <c r="W81" s="151" t="str">
        <f>IF(Calculations!$L$51=TRUE,N23,"")</f>
        <v/>
      </c>
      <c r="X81" s="151" t="str">
        <f>IF(Calculations!$L$51=TRUE,O23,"")</f>
        <v/>
      </c>
      <c r="Y81" s="151" t="str">
        <f>IF(Calculations!$L$51=TRUE,P23,"")</f>
        <v/>
      </c>
      <c r="Z81" s="334"/>
      <c r="AD81" s="5"/>
      <c r="AE81" s="85"/>
      <c r="AF81" s="5"/>
      <c r="AG81" s="86"/>
      <c r="AH81" s="5"/>
      <c r="AI81" s="3"/>
      <c r="AJ81" s="5"/>
      <c r="AK81" s="24"/>
      <c r="AL81" s="5"/>
      <c r="AM81" s="8"/>
      <c r="AN81" s="5"/>
      <c r="AO81" s="8"/>
      <c r="AP81" s="5"/>
      <c r="AQ81" s="3"/>
      <c r="AR81" s="5"/>
      <c r="AS81" s="6"/>
      <c r="AT81" s="5"/>
      <c r="AU81" s="3"/>
      <c r="AV81" s="18"/>
    </row>
    <row r="82" spans="1:48" ht="14.25" hidden="1" customHeight="1">
      <c r="A82" s="32"/>
      <c r="B82" s="15"/>
      <c r="D82" s="110"/>
      <c r="E82" s="319"/>
      <c r="F82" s="320"/>
      <c r="G82" s="320"/>
      <c r="H82" s="152"/>
      <c r="I82" s="100"/>
      <c r="J82" s="100"/>
      <c r="K82" s="100"/>
      <c r="L82" s="148"/>
      <c r="M82" s="167"/>
      <c r="N82" s="151"/>
      <c r="O82" s="151"/>
      <c r="P82" s="151"/>
      <c r="Q82" s="151"/>
      <c r="R82" s="151"/>
      <c r="S82" s="151"/>
      <c r="T82" s="151"/>
      <c r="U82" s="151"/>
      <c r="V82" s="151"/>
      <c r="W82" s="151"/>
      <c r="X82" s="151"/>
      <c r="Y82" s="151"/>
      <c r="Z82" s="334"/>
      <c r="AD82" s="5"/>
      <c r="AE82" s="85"/>
      <c r="AF82" s="5"/>
      <c r="AG82" s="86"/>
      <c r="AH82" s="5"/>
      <c r="AI82" s="3"/>
      <c r="AJ82" s="5"/>
      <c r="AK82" s="24"/>
      <c r="AL82" s="5"/>
      <c r="AM82" s="8"/>
      <c r="AN82" s="5"/>
      <c r="AO82" s="8"/>
      <c r="AP82" s="5"/>
      <c r="AQ82" s="3"/>
      <c r="AR82" s="5"/>
      <c r="AS82" s="6"/>
      <c r="AT82" s="5"/>
      <c r="AU82" s="3"/>
      <c r="AV82" s="18"/>
    </row>
    <row r="83" spans="1:48" ht="14.25" hidden="1" customHeight="1">
      <c r="A83" s="32"/>
      <c r="B83" s="15"/>
      <c r="D83" s="110"/>
      <c r="E83" s="319"/>
      <c r="F83" s="320"/>
      <c r="G83" s="320"/>
      <c r="H83" s="152"/>
      <c r="I83" s="100"/>
      <c r="J83" s="100"/>
      <c r="K83" s="100"/>
      <c r="L83" s="148"/>
      <c r="M83" s="169" t="s">
        <v>51</v>
      </c>
      <c r="N83" s="151" t="str">
        <f>IF(Calculations!B99=TRUE,"P",IF(Calculations!$B$102&lt;Calculations!$B$103,(IF(Calculations!$B$102&lt;=1,(IF(Calculations!$B$103&gt;=1,"A","P")),"P")),IF(Calculations!$B$103&gt;=1,"A",IF(Calculations!$B$102&lt;=1,"A","P"))))</f>
        <v>P</v>
      </c>
      <c r="O83" s="151" t="str">
        <f>IF(Calculations!B99=TRUE,"P",IF(Calculations!$B$102&lt;Calculations!$B$103,(IF(Calculations!$B$102&lt;=2,(IF(Calculations!$B$103&gt;=2,"A","P")),"P")),IF(Calculations!$B$103&gt;=2,"A",IF(Calculations!$B$102&lt;=2,"A","P"))))</f>
        <v>P</v>
      </c>
      <c r="P83" s="151" t="str">
        <f>IF(Calculations!B99=TRUE,"P",IF(Calculations!$B$102&lt;Calculations!$B$103,(IF(Calculations!$B$102&lt;=3,(IF(Calculations!$B$103&gt;=3,"A","P")),"P")),IF(Calculations!$B$103&gt;=3,"A",IF(Calculations!$B$102&lt;=3,"A","P"))))</f>
        <v>P</v>
      </c>
      <c r="Q83" s="151" t="str">
        <f>IF(Calculations!B99=TRUE,"P",IF(Calculations!$B$102&lt;Calculations!$B$103,(IF(Calculations!$B$102&lt;=4,(IF(Calculations!$B$103&gt;=4,"A","P")),"P")),IF(Calculations!$B$103&gt;=4,"A",IF(Calculations!$B$102&lt;=4,"A","P"))))</f>
        <v>P</v>
      </c>
      <c r="R83" s="151" t="str">
        <f>IF(Calculations!B99=TRUE,"P",IF(Calculations!$B$102&lt;Calculations!$B$103,(IF(Calculations!$B$102&lt;=5,(IF(Calculations!$B$103&gt;=5,"A","P")),"P")),IF(Calculations!$B$103&gt;=5,"A",IF(Calculations!$B$102&lt;=5,"A","P"))))</f>
        <v>P</v>
      </c>
      <c r="S83" s="151" t="str">
        <f>IF(Calculations!B99=TRUE,"P",IF(Calculations!$B$102&lt;Calculations!$B$103,(IF(Calculations!$B$102&lt;=7,(IF(Calculations!$B$103&gt;=7,"A","P")),"P")),IF(Calculations!$B$103&gt;=7,"A",IF(Calculations!$B$102&lt;=7,"A","P"))))</f>
        <v>P</v>
      </c>
      <c r="T83" s="151" t="str">
        <f>IF(Calculations!B99=TRUE,"P",IF(Calculations!$B$102&lt;Calculations!$B$103,(IF(Calculations!$B$102&lt;=10,(IF(Calculations!$B$103&gt;=10,"A","P")),"P")),IF(Calculations!$B$103&gt;=10,"A",IF(Calculations!$B$102&lt;=10,"A","P"))))</f>
        <v>P</v>
      </c>
      <c r="U83" s="151" t="str">
        <f>IF(Calculations!B99=TRUE,"P",IF(Calculations!$B$102&lt;Calculations!$B$103,(IF(Calculations!$B$102&lt;=8,(IF(Calculations!$B$103&gt;=8,"A","P")),"P")),IF(Calculations!$B$103&gt;=8,"A",IF(Calculations!$B$102&lt;=8,"A","P"))))</f>
        <v>P</v>
      </c>
      <c r="V83" s="151" t="str">
        <f>IF(Calculations!B99=TRUE,"P",IF(Calculations!$B$102&lt;Calculations!$B$103,(IF(Calculations!$B$102&lt;=9,(IF(Calculations!$B$103&gt;=9,"A","P")),"P")),IF(Calculations!$B$103&gt;=9,"A",IF(Calculations!$B$102&lt;=9,"A","P"))))</f>
        <v>P</v>
      </c>
      <c r="W83" s="151" t="str">
        <f>IF(Calculations!B99=TRUE,"P",IF(Calculations!$B$102&lt;Calculations!$B$103,(IF(Calculations!$B$102&lt;=10,(IF(Calculations!$B$103&gt;=10,"A","P")),"P")),IF(Calculations!$B$103&gt;=10,"A",IF(Calculations!$B$102&lt;=10,"A","P"))))</f>
        <v>P</v>
      </c>
      <c r="X83" s="151" t="str">
        <f>IF(Calculations!B99=TRUE,"P",IF(Calculations!$B$102&lt;Calculations!$B$103,(IF(Calculations!$B$102&lt;=11,(IF(Calculations!$B$103&gt;=11,"A","P")),"P")),IF(Calculations!$B$103&gt;=11,"A",IF(Calculations!$B$102&lt;=11,"A","P"))))</f>
        <v>P</v>
      </c>
      <c r="Y83" s="151" t="str">
        <f>IF(Calculations!B99=TRUE,"P",IF(Calculations!$B$102&lt;Calculations!$B$103,(IF(Calculations!$B$102&lt;=12,(IF(Calculations!$B$103&gt;=12,"A","P")),"P")),IF(Calculations!$B$103&gt;=12,"A",IF(Calculations!$B$102&lt;=12,"A","P"))))</f>
        <v>P</v>
      </c>
      <c r="Z83" s="334"/>
      <c r="AD83" s="5"/>
      <c r="AE83" s="85"/>
      <c r="AF83" s="5"/>
      <c r="AG83" s="86"/>
      <c r="AH83" s="5"/>
      <c r="AI83" s="3"/>
      <c r="AJ83" s="5"/>
      <c r="AK83" s="24"/>
      <c r="AL83" s="5"/>
      <c r="AM83" s="8"/>
      <c r="AN83" s="5"/>
      <c r="AO83" s="8"/>
      <c r="AP83" s="5"/>
      <c r="AQ83" s="3"/>
      <c r="AR83" s="5"/>
      <c r="AS83" s="6"/>
      <c r="AT83" s="5"/>
      <c r="AU83" s="3"/>
      <c r="AV83" s="18"/>
    </row>
    <row r="84" spans="1:48" ht="14.25" hidden="1" customHeight="1">
      <c r="A84" s="32"/>
      <c r="B84" s="15"/>
      <c r="D84" s="110"/>
      <c r="E84" s="319"/>
      <c r="F84" s="320"/>
      <c r="G84" s="320"/>
      <c r="H84" s="152"/>
      <c r="I84" s="100"/>
      <c r="J84" s="100"/>
      <c r="K84" s="100"/>
      <c r="L84" s="148"/>
      <c r="M84" s="167" t="s">
        <v>373</v>
      </c>
      <c r="N84" s="151">
        <f>IF(Calculations!$L$52=TRUE,IF(N83="P",N35,0),0)</f>
        <v>0</v>
      </c>
      <c r="O84" s="151">
        <f>IF(Calculations!$L$52=TRUE,IF(O83="P",O35,0),0)</f>
        <v>0</v>
      </c>
      <c r="P84" s="151">
        <f>IF(Calculations!$L$52=TRUE,IF(P83="P",P35,0),0)</f>
        <v>0</v>
      </c>
      <c r="Q84" s="151">
        <f>IF(Calculations!$L$52=TRUE,IF(Q83="P",Q35,0),0)</f>
        <v>0</v>
      </c>
      <c r="R84" s="151">
        <f>IF(Calculations!$L$52=TRUE,IF(R83="P",R35,0),0)</f>
        <v>0</v>
      </c>
      <c r="S84" s="151">
        <f>IF(Calculations!$L$52=TRUE,IF(S83="P",S35,0),0)</f>
        <v>0</v>
      </c>
      <c r="T84" s="151">
        <f>IF(Calculations!$L$52=TRUE,IF(T83="P",T35,0),0)</f>
        <v>0</v>
      </c>
      <c r="U84" s="151">
        <f>IF(Calculations!$L$52=TRUE,IF(U83="P",U35,0),0)</f>
        <v>0</v>
      </c>
      <c r="V84" s="151">
        <f>IF(Calculations!$L$52=TRUE,IF(V83="P",V35,0),0)</f>
        <v>0</v>
      </c>
      <c r="W84" s="151">
        <f>IF(Calculations!$L$52=TRUE,IF(W83="P",W35,0),0)</f>
        <v>0</v>
      </c>
      <c r="X84" s="151">
        <f>IF(Calculations!$L$52=TRUE,IF(X83="P",X35,0),0)</f>
        <v>0</v>
      </c>
      <c r="Y84" s="151">
        <f>IF(Calculations!$L$52=TRUE,IF(Y83="P",Y35,0),0)</f>
        <v>0</v>
      </c>
      <c r="Z84" s="334"/>
      <c r="AD84" s="5"/>
      <c r="AE84" s="85"/>
      <c r="AF84" s="5"/>
      <c r="AG84" s="86"/>
      <c r="AH84" s="5"/>
      <c r="AI84" s="3"/>
      <c r="AJ84" s="5"/>
      <c r="AK84" s="24"/>
      <c r="AL84" s="5"/>
      <c r="AM84" s="8"/>
      <c r="AN84" s="5"/>
      <c r="AO84" s="8"/>
      <c r="AP84" s="5"/>
      <c r="AQ84" s="3"/>
      <c r="AR84" s="5"/>
      <c r="AS84" s="6"/>
      <c r="AT84" s="5"/>
      <c r="AU84" s="3"/>
      <c r="AV84" s="18"/>
    </row>
    <row r="85" spans="1:48" ht="14.25" hidden="1" customHeight="1">
      <c r="A85" s="32"/>
      <c r="B85" s="15"/>
      <c r="D85" s="110"/>
      <c r="E85" s="319"/>
      <c r="F85" s="320"/>
      <c r="G85" s="320"/>
      <c r="H85" s="152"/>
      <c r="I85" s="100"/>
      <c r="J85" s="100"/>
      <c r="K85" s="100"/>
      <c r="L85" s="148"/>
      <c r="M85" s="167" t="s">
        <v>372</v>
      </c>
      <c r="N85" s="151">
        <f>IF(Calculations!$L$52=TRUE,IF(AND(N83="A",Calculations!$B$100=TRUE),N35,0),0)</f>
        <v>0</v>
      </c>
      <c r="O85" s="151">
        <f>IF(Calculations!$L$52=TRUE,IF(AND(O83="A",Calculations!$B$100=TRUE),O35,0),0)</f>
        <v>0</v>
      </c>
      <c r="P85" s="151">
        <f>IF(Calculations!$L$52=TRUE,IF(AND(P83="A",Calculations!$B$100=TRUE),P35,0),0)</f>
        <v>0</v>
      </c>
      <c r="Q85" s="151">
        <f>IF(Calculations!$L$52=TRUE,IF(AND(Q83="A",Calculations!$B$100=TRUE),Q35,0),0)</f>
        <v>0</v>
      </c>
      <c r="R85" s="151">
        <f>IF(Calculations!$L$52=TRUE,IF(AND(R83="A",Calculations!$B$100=TRUE),R35,0),0)</f>
        <v>0</v>
      </c>
      <c r="S85" s="151">
        <f>IF(Calculations!$L$52=TRUE,IF(AND(S83="A",Calculations!$B$100=TRUE),S35,0),0)</f>
        <v>0</v>
      </c>
      <c r="T85" s="151">
        <f>IF(Calculations!$L$52=TRUE,IF(AND(T83="A",Calculations!$B$100=TRUE),T35,0),0)</f>
        <v>0</v>
      </c>
      <c r="U85" s="151">
        <f>IF(Calculations!$L$52=TRUE,IF(AND(U83="A",Calculations!$B$100=TRUE),U35,0),0)</f>
        <v>0</v>
      </c>
      <c r="V85" s="151">
        <f>IF(Calculations!$L$52=TRUE,IF(AND(V83="A",Calculations!$B$100=TRUE),V35,0),0)</f>
        <v>0</v>
      </c>
      <c r="W85" s="151">
        <f>IF(Calculations!$L$52=TRUE,IF(AND(W83="A",Calculations!$B$100=TRUE),W35,0),0)</f>
        <v>0</v>
      </c>
      <c r="X85" s="151">
        <f>IF(Calculations!$L$52=TRUE,IF(AND(X83="A",Calculations!$B$100=TRUE),X35,0),0)</f>
        <v>0</v>
      </c>
      <c r="Y85" s="151">
        <f>IF(Calculations!$L$52=TRUE,IF(AND(Y83="A",Calculations!$B$100=TRUE),Y35,0),0)</f>
        <v>0</v>
      </c>
      <c r="Z85" s="334"/>
      <c r="AD85" s="5"/>
      <c r="AE85" s="85"/>
      <c r="AF85" s="5"/>
      <c r="AG85" s="86"/>
      <c r="AH85" s="5"/>
      <c r="AI85" s="3"/>
      <c r="AJ85" s="5"/>
      <c r="AK85" s="24"/>
      <c r="AL85" s="5"/>
      <c r="AM85" s="8"/>
      <c r="AN85" s="5"/>
      <c r="AO85" s="8"/>
      <c r="AP85" s="5"/>
      <c r="AQ85" s="3"/>
      <c r="AR85" s="5"/>
      <c r="AS85" s="6"/>
      <c r="AT85" s="5"/>
      <c r="AU85" s="3"/>
      <c r="AV85" s="18"/>
    </row>
    <row r="86" spans="1:48" ht="14.25" hidden="1" customHeight="1">
      <c r="A86" s="32"/>
      <c r="B86" s="15"/>
      <c r="D86" s="110"/>
      <c r="E86" s="319"/>
      <c r="F86" s="320"/>
      <c r="G86" s="320"/>
      <c r="H86" s="152"/>
      <c r="I86" s="100"/>
      <c r="J86" s="100"/>
      <c r="K86" s="100"/>
      <c r="L86" s="148"/>
      <c r="M86" s="167" t="s">
        <v>303</v>
      </c>
      <c r="N86" s="151">
        <f>IF(Calculations!$L$52=TRUE,IF(AND(N83="A",Calculations!$B$101=TRUE),N35,0),0)</f>
        <v>0</v>
      </c>
      <c r="O86" s="151">
        <f>IF(Calculations!$L$52=TRUE,IF(AND(O83="A",Calculations!$B$101=TRUE),O35,0),0)</f>
        <v>0</v>
      </c>
      <c r="P86" s="151">
        <f>IF(Calculations!$L$52=TRUE,IF(AND(P83="A",Calculations!$B$101=TRUE),P35,0),0)</f>
        <v>0</v>
      </c>
      <c r="Q86" s="151">
        <f>IF(Calculations!$L$52=TRUE,IF(AND(Q83="A",Calculations!$B$101=TRUE),Q35,0),0)</f>
        <v>0</v>
      </c>
      <c r="R86" s="151">
        <f>IF(Calculations!$L$52=TRUE,IF(AND(R83="A",Calculations!$B$101=TRUE),R35,0),0)</f>
        <v>0</v>
      </c>
      <c r="S86" s="151">
        <f>IF(Calculations!$L$52=TRUE,IF(AND(S83="A",Calculations!$B$101=TRUE),S35,0),0)</f>
        <v>0</v>
      </c>
      <c r="T86" s="151">
        <f>IF(Calculations!$L$52=TRUE,IF(AND(T83="A",Calculations!$B$101=TRUE),T35,0),0)</f>
        <v>0</v>
      </c>
      <c r="U86" s="151">
        <f>IF(Calculations!$L$52=TRUE,IF(AND(U83="A",Calculations!$B$101=TRUE),U35,0),0)</f>
        <v>0</v>
      </c>
      <c r="V86" s="151">
        <f>IF(Calculations!$L$52=TRUE,IF(AND(V83="A",Calculations!$B$101=TRUE),V35,0),0)</f>
        <v>0</v>
      </c>
      <c r="W86" s="151">
        <f>IF(Calculations!$L$52=TRUE,IF(AND(W83="A",Calculations!$B$101=TRUE),W35,0),0)</f>
        <v>0</v>
      </c>
      <c r="X86" s="151">
        <f>IF(Calculations!$L$52=TRUE,IF(AND(X83="A",Calculations!$B$101=TRUE),X35,0),0)</f>
        <v>0</v>
      </c>
      <c r="Y86" s="151">
        <f>IF(Calculations!$L$52=TRUE,IF(AND(Y83="A",Calculations!$B$101=TRUE),Y35,0),0)</f>
        <v>0</v>
      </c>
      <c r="Z86" s="334"/>
      <c r="AD86" s="5"/>
      <c r="AE86" s="85"/>
      <c r="AF86" s="5"/>
      <c r="AG86" s="86"/>
      <c r="AH86" s="5"/>
      <c r="AI86" s="3"/>
      <c r="AJ86" s="5"/>
      <c r="AK86" s="24"/>
      <c r="AL86" s="5"/>
      <c r="AM86" s="8"/>
      <c r="AN86" s="5"/>
      <c r="AO86" s="8"/>
      <c r="AP86" s="5"/>
      <c r="AQ86" s="3"/>
      <c r="AR86" s="5"/>
      <c r="AS86" s="6"/>
      <c r="AT86" s="5"/>
      <c r="AU86" s="3"/>
      <c r="AV86" s="18"/>
    </row>
    <row r="87" spans="1:48" ht="14.25" hidden="1" customHeight="1">
      <c r="A87" s="32"/>
      <c r="B87" s="15"/>
      <c r="D87" s="110"/>
      <c r="E87" s="319"/>
      <c r="F87" s="320"/>
      <c r="G87" s="320"/>
      <c r="H87" s="152"/>
      <c r="I87" s="100"/>
      <c r="J87" s="100"/>
      <c r="K87" s="100"/>
      <c r="L87" s="148"/>
      <c r="M87" s="167"/>
      <c r="N87" s="151"/>
      <c r="O87" s="151"/>
      <c r="P87" s="151"/>
      <c r="Q87" s="151"/>
      <c r="R87" s="151"/>
      <c r="S87" s="151"/>
      <c r="T87" s="151"/>
      <c r="U87" s="151"/>
      <c r="V87" s="151"/>
      <c r="W87" s="151"/>
      <c r="X87" s="151"/>
      <c r="Y87" s="151"/>
      <c r="Z87" s="334"/>
      <c r="AD87" s="5"/>
      <c r="AE87" s="85"/>
      <c r="AF87" s="5"/>
      <c r="AG87" s="86"/>
      <c r="AH87" s="5"/>
      <c r="AI87" s="3"/>
      <c r="AJ87" s="5"/>
      <c r="AK87" s="24"/>
      <c r="AL87" s="5"/>
      <c r="AM87" s="8"/>
      <c r="AN87" s="5"/>
      <c r="AO87" s="8"/>
      <c r="AP87" s="5"/>
      <c r="AQ87" s="3"/>
      <c r="AR87" s="5"/>
      <c r="AS87" s="6"/>
      <c r="AT87" s="5"/>
      <c r="AU87" s="3"/>
      <c r="AV87" s="18"/>
    </row>
    <row r="88" spans="1:48" ht="14.25" hidden="1" customHeight="1">
      <c r="A88" s="32"/>
      <c r="B88" s="15"/>
      <c r="D88" s="110"/>
      <c r="E88" s="319"/>
      <c r="F88" s="320"/>
      <c r="G88" s="320"/>
      <c r="H88" s="152"/>
      <c r="I88" s="100"/>
      <c r="J88" s="100"/>
      <c r="K88" s="100"/>
      <c r="L88" s="148"/>
      <c r="M88" s="169" t="s">
        <v>54</v>
      </c>
      <c r="N88" s="151" t="str">
        <f>IF(Calculations!$L$53=TRUE,N39,"")</f>
        <v/>
      </c>
      <c r="O88" s="151" t="str">
        <f>IF(Calculations!$L$53=TRUE,O39,"")</f>
        <v/>
      </c>
      <c r="P88" s="151" t="str">
        <f>IF(Calculations!$L$53=TRUE,P39,"")</f>
        <v/>
      </c>
      <c r="Q88" s="151" t="str">
        <f>IF(Calculations!$L$53=TRUE,Q39,"")</f>
        <v/>
      </c>
      <c r="R88" s="151" t="str">
        <f>IF(Calculations!$L$53=TRUE,R39,"")</f>
        <v/>
      </c>
      <c r="S88" s="151" t="str">
        <f>IF(Calculations!$L$53=TRUE,S39,"")</f>
        <v/>
      </c>
      <c r="T88" s="151" t="str">
        <f>IF(Calculations!$L$53=TRUE,T39,"")</f>
        <v/>
      </c>
      <c r="U88" s="151" t="str">
        <f>IF(Calculations!$L$53=TRUE,U39,"")</f>
        <v/>
      </c>
      <c r="V88" s="151" t="str">
        <f>IF(Calculations!$L$53=TRUE,V39,"")</f>
        <v/>
      </c>
      <c r="W88" s="151" t="str">
        <f>IF(Calculations!$L$53=TRUE,W39,"")</f>
        <v/>
      </c>
      <c r="X88" s="151" t="str">
        <f>IF(Calculations!$L$53=TRUE,X39,"")</f>
        <v/>
      </c>
      <c r="Y88" s="151" t="str">
        <f>IF(Calculations!$L$53=TRUE,Y39,"")</f>
        <v/>
      </c>
      <c r="Z88" s="334"/>
      <c r="AD88" s="5"/>
      <c r="AE88" s="85"/>
      <c r="AF88" s="5"/>
      <c r="AG88" s="86"/>
      <c r="AH88" s="5"/>
      <c r="AI88" s="3"/>
      <c r="AJ88" s="5"/>
      <c r="AK88" s="24"/>
      <c r="AL88" s="5"/>
      <c r="AM88" s="8"/>
      <c r="AN88" s="5"/>
      <c r="AO88" s="8"/>
      <c r="AP88" s="5"/>
      <c r="AQ88" s="3"/>
      <c r="AR88" s="5"/>
      <c r="AS88" s="6"/>
      <c r="AT88" s="5"/>
      <c r="AU88" s="3"/>
      <c r="AV88" s="18"/>
    </row>
    <row r="89" spans="1:48" ht="14.25" hidden="1" customHeight="1">
      <c r="A89" s="32"/>
      <c r="B89" s="15"/>
      <c r="D89" s="110"/>
      <c r="E89" s="319"/>
      <c r="F89" s="320"/>
      <c r="G89" s="320"/>
      <c r="H89" s="152"/>
      <c r="I89" s="100"/>
      <c r="J89" s="100"/>
      <c r="K89" s="100"/>
      <c r="L89" s="148"/>
      <c r="M89" s="169" t="s">
        <v>53</v>
      </c>
      <c r="N89" s="151" t="str">
        <f>IF(Calculations!$L$54=TRUE,N37,"")</f>
        <v/>
      </c>
      <c r="O89" s="151" t="str">
        <f>IF(Calculations!$L$54=TRUE,O37,"")</f>
        <v/>
      </c>
      <c r="P89" s="151" t="str">
        <f>IF(Calculations!$L$54=TRUE,P37,"")</f>
        <v/>
      </c>
      <c r="Q89" s="151" t="str">
        <f>IF(Calculations!$L$54=TRUE,Q37,"")</f>
        <v/>
      </c>
      <c r="R89" s="151" t="str">
        <f>IF(Calculations!$L$54=TRUE,R37,"")</f>
        <v/>
      </c>
      <c r="S89" s="151" t="str">
        <f>IF(Calculations!$L$54=TRUE,S37,"")</f>
        <v/>
      </c>
      <c r="T89" s="151" t="str">
        <f>IF(Calculations!$L$54=TRUE,T37,"")</f>
        <v/>
      </c>
      <c r="U89" s="151" t="str">
        <f>IF(Calculations!$L$54=TRUE,U37,"")</f>
        <v/>
      </c>
      <c r="V89" s="151" t="str">
        <f>IF(Calculations!$L$54=TRUE,V37,"")</f>
        <v/>
      </c>
      <c r="W89" s="151" t="str">
        <f>IF(Calculations!$L$54=TRUE,W37,"")</f>
        <v/>
      </c>
      <c r="X89" s="151" t="str">
        <f>IF(Calculations!$L$54=TRUE,X37,"")</f>
        <v/>
      </c>
      <c r="Y89" s="151" t="str">
        <f>IF(Calculations!$L$54=TRUE,Y37,"")</f>
        <v/>
      </c>
      <c r="Z89" s="334"/>
      <c r="AD89" s="5"/>
      <c r="AE89" s="85"/>
      <c r="AF89" s="5"/>
      <c r="AG89" s="86"/>
      <c r="AH89" s="5"/>
      <c r="AI89" s="3"/>
      <c r="AJ89" s="5"/>
      <c r="AK89" s="24"/>
      <c r="AL89" s="5"/>
      <c r="AM89" s="8"/>
      <c r="AN89" s="5"/>
      <c r="AO89" s="8"/>
      <c r="AP89" s="5"/>
      <c r="AQ89" s="3"/>
      <c r="AR89" s="5"/>
      <c r="AS89" s="6"/>
      <c r="AT89" s="5"/>
      <c r="AU89" s="3"/>
      <c r="AV89" s="18"/>
    </row>
    <row r="90" spans="1:48" ht="14.25" hidden="1" customHeight="1">
      <c r="A90" s="32"/>
      <c r="B90" s="15"/>
      <c r="D90" s="110"/>
      <c r="E90" s="319"/>
      <c r="F90" s="320"/>
      <c r="G90" s="320"/>
      <c r="H90" s="152"/>
      <c r="I90" s="100"/>
      <c r="J90" s="100"/>
      <c r="K90" s="100"/>
      <c r="L90" s="148"/>
      <c r="M90" s="167"/>
      <c r="N90" s="151"/>
      <c r="O90" s="151"/>
      <c r="P90" s="151"/>
      <c r="Q90" s="151"/>
      <c r="R90" s="151"/>
      <c r="S90" s="151"/>
      <c r="T90" s="151"/>
      <c r="U90" s="151"/>
      <c r="V90" s="151"/>
      <c r="W90" s="151"/>
      <c r="X90" s="151"/>
      <c r="Y90" s="151"/>
      <c r="Z90" s="334"/>
      <c r="AD90" s="5"/>
      <c r="AE90" s="85"/>
      <c r="AF90" s="5"/>
      <c r="AG90" s="86"/>
      <c r="AH90" s="5"/>
      <c r="AI90" s="3"/>
      <c r="AJ90" s="5"/>
      <c r="AK90" s="24"/>
      <c r="AL90" s="5"/>
      <c r="AM90" s="8"/>
      <c r="AN90" s="5"/>
      <c r="AO90" s="8"/>
      <c r="AP90" s="5"/>
      <c r="AQ90" s="3"/>
      <c r="AR90" s="5"/>
      <c r="AS90" s="6"/>
      <c r="AT90" s="5"/>
      <c r="AU90" s="3"/>
      <c r="AV90" s="18"/>
    </row>
    <row r="91" spans="1:48" ht="20.25" customHeight="1">
      <c r="A91" s="32"/>
      <c r="B91" s="15"/>
      <c r="D91" s="110"/>
      <c r="E91" s="319"/>
      <c r="F91" s="320"/>
      <c r="G91" s="320"/>
      <c r="H91" s="1927" t="s">
        <v>295</v>
      </c>
      <c r="I91" s="1928"/>
      <c r="J91" s="1925" t="s">
        <v>367</v>
      </c>
      <c r="K91" s="1926"/>
      <c r="L91" s="1926"/>
      <c r="M91" s="858">
        <f>SUM(N91:Y91)</f>
        <v>0</v>
      </c>
      <c r="N91" s="859">
        <f>N44+N50+N61+N67+N71+N75+N80+N81+N84+N88+N89</f>
        <v>0</v>
      </c>
      <c r="O91" s="859">
        <f t="shared" ref="O91:Y91" si="2">O44+O50+O61+O67+O71+O75+O80+O81+O84+O88+O89</f>
        <v>0</v>
      </c>
      <c r="P91" s="859">
        <f t="shared" si="2"/>
        <v>0</v>
      </c>
      <c r="Q91" s="859">
        <f t="shared" si="2"/>
        <v>0</v>
      </c>
      <c r="R91" s="859">
        <f t="shared" si="2"/>
        <v>0</v>
      </c>
      <c r="S91" s="859">
        <f t="shared" si="2"/>
        <v>0</v>
      </c>
      <c r="T91" s="859">
        <f t="shared" si="2"/>
        <v>0</v>
      </c>
      <c r="U91" s="859">
        <f t="shared" si="2"/>
        <v>0</v>
      </c>
      <c r="V91" s="859">
        <f t="shared" si="2"/>
        <v>0</v>
      </c>
      <c r="W91" s="859">
        <f t="shared" si="2"/>
        <v>0</v>
      </c>
      <c r="X91" s="859">
        <f t="shared" si="2"/>
        <v>0</v>
      </c>
      <c r="Y91" s="859">
        <f t="shared" si="2"/>
        <v>0</v>
      </c>
      <c r="Z91" s="334"/>
      <c r="AD91" s="5"/>
      <c r="AE91" s="85"/>
      <c r="AF91" s="5"/>
      <c r="AG91" s="86"/>
      <c r="AH91" s="5"/>
      <c r="AI91" s="3"/>
      <c r="AJ91" s="5"/>
      <c r="AK91" s="24"/>
      <c r="AL91" s="5"/>
      <c r="AM91" s="8"/>
      <c r="AN91" s="5"/>
      <c r="AO91" s="8"/>
      <c r="AP91" s="5"/>
      <c r="AQ91" s="3"/>
      <c r="AR91" s="5"/>
      <c r="AS91" s="6"/>
      <c r="AT91" s="5"/>
      <c r="AU91" s="3"/>
      <c r="AV91" s="18"/>
    </row>
    <row r="92" spans="1:48" ht="20.25" customHeight="1">
      <c r="A92" s="32"/>
      <c r="B92" s="15"/>
      <c r="D92" s="110"/>
      <c r="E92" s="319"/>
      <c r="F92" s="320"/>
      <c r="G92" s="320"/>
      <c r="H92" s="1927" t="s">
        <v>380</v>
      </c>
      <c r="I92" s="1928"/>
      <c r="J92" s="1925" t="s">
        <v>367</v>
      </c>
      <c r="K92" s="1926"/>
      <c r="L92" s="1926"/>
      <c r="M92" s="858">
        <f>SUM(N92:Y92)</f>
        <v>0</v>
      </c>
      <c r="N92" s="859">
        <f t="shared" ref="N92:Y92" si="3">N45+N51+N54+N62+N68+N72+N76+N85</f>
        <v>0</v>
      </c>
      <c r="O92" s="859">
        <f t="shared" si="3"/>
        <v>0</v>
      </c>
      <c r="P92" s="859">
        <f t="shared" si="3"/>
        <v>0</v>
      </c>
      <c r="Q92" s="859">
        <f t="shared" si="3"/>
        <v>0</v>
      </c>
      <c r="R92" s="859">
        <f t="shared" si="3"/>
        <v>0</v>
      </c>
      <c r="S92" s="859">
        <f t="shared" si="3"/>
        <v>0</v>
      </c>
      <c r="T92" s="859">
        <f t="shared" si="3"/>
        <v>0</v>
      </c>
      <c r="U92" s="859">
        <f t="shared" si="3"/>
        <v>0</v>
      </c>
      <c r="V92" s="859">
        <f t="shared" si="3"/>
        <v>0</v>
      </c>
      <c r="W92" s="859">
        <f t="shared" si="3"/>
        <v>0</v>
      </c>
      <c r="X92" s="859">
        <f t="shared" si="3"/>
        <v>0</v>
      </c>
      <c r="Y92" s="859">
        <f t="shared" si="3"/>
        <v>0</v>
      </c>
      <c r="Z92" s="334"/>
      <c r="AD92" s="5"/>
      <c r="AE92" s="85"/>
      <c r="AF92" s="5"/>
      <c r="AG92" s="86"/>
      <c r="AH92" s="5"/>
      <c r="AI92" s="3"/>
      <c r="AJ92" s="5"/>
      <c r="AK92" s="24"/>
      <c r="AL92" s="5"/>
      <c r="AM92" s="8"/>
      <c r="AN92" s="5"/>
      <c r="AO92" s="8"/>
      <c r="AP92" s="5"/>
      <c r="AQ92" s="3"/>
      <c r="AR92" s="5"/>
      <c r="AS92" s="6"/>
      <c r="AT92" s="5"/>
      <c r="AU92" s="3"/>
      <c r="AV92" s="18"/>
    </row>
    <row r="93" spans="1:48" ht="20.25" customHeight="1">
      <c r="A93" s="32"/>
      <c r="B93" s="15"/>
      <c r="D93" s="110"/>
      <c r="E93" s="319"/>
      <c r="F93" s="320"/>
      <c r="G93" s="320"/>
      <c r="H93" s="1927" t="s">
        <v>365</v>
      </c>
      <c r="I93" s="1928"/>
      <c r="J93" s="1925" t="s">
        <v>367</v>
      </c>
      <c r="K93" s="1926"/>
      <c r="L93" s="1926"/>
      <c r="M93" s="858">
        <f>SUM(N93:Y93)</f>
        <v>0</v>
      </c>
      <c r="N93" s="859">
        <f t="shared" ref="N93:Y93" si="4">N46+N52+N55+N63+N69+N73+N77+N86</f>
        <v>0</v>
      </c>
      <c r="O93" s="859">
        <f t="shared" si="4"/>
        <v>0</v>
      </c>
      <c r="P93" s="859">
        <f t="shared" si="4"/>
        <v>0</v>
      </c>
      <c r="Q93" s="859">
        <f t="shared" si="4"/>
        <v>0</v>
      </c>
      <c r="R93" s="859">
        <f t="shared" si="4"/>
        <v>0</v>
      </c>
      <c r="S93" s="859">
        <f t="shared" si="4"/>
        <v>0</v>
      </c>
      <c r="T93" s="859">
        <f t="shared" si="4"/>
        <v>0</v>
      </c>
      <c r="U93" s="859">
        <f t="shared" si="4"/>
        <v>0</v>
      </c>
      <c r="V93" s="859">
        <f t="shared" si="4"/>
        <v>0</v>
      </c>
      <c r="W93" s="859">
        <f t="shared" si="4"/>
        <v>0</v>
      </c>
      <c r="X93" s="859">
        <f t="shared" si="4"/>
        <v>0</v>
      </c>
      <c r="Y93" s="859">
        <f t="shared" si="4"/>
        <v>0</v>
      </c>
      <c r="Z93" s="334"/>
      <c r="AD93" s="5"/>
      <c r="AE93" s="85"/>
      <c r="AF93" s="5"/>
      <c r="AG93" s="86"/>
      <c r="AH93" s="5"/>
      <c r="AI93" s="3"/>
      <c r="AJ93" s="5"/>
      <c r="AK93" s="24"/>
      <c r="AL93" s="5"/>
      <c r="AM93" s="8"/>
      <c r="AN93" s="5"/>
      <c r="AO93" s="8"/>
      <c r="AP93" s="5"/>
      <c r="AQ93" s="3"/>
      <c r="AR93" s="5"/>
      <c r="AS93" s="6"/>
      <c r="AT93" s="5"/>
      <c r="AU93" s="3"/>
      <c r="AV93" s="18"/>
    </row>
    <row r="94" spans="1:48" ht="14.25" customHeight="1">
      <c r="A94" s="32"/>
      <c r="B94" s="15"/>
      <c r="D94" s="110"/>
      <c r="E94" s="319"/>
      <c r="F94" s="320"/>
      <c r="G94" s="320" t="s">
        <v>270</v>
      </c>
      <c r="H94" s="332" t="s">
        <v>270</v>
      </c>
      <c r="I94" s="332" t="s">
        <v>270</v>
      </c>
      <c r="J94" s="332" t="s">
        <v>270</v>
      </c>
      <c r="K94" s="332"/>
      <c r="L94" s="332"/>
      <c r="M94" s="332"/>
      <c r="N94" s="332"/>
      <c r="O94" s="332"/>
      <c r="P94" s="332"/>
      <c r="Q94" s="332"/>
      <c r="R94" s="332"/>
      <c r="S94" s="332"/>
      <c r="T94" s="332"/>
      <c r="U94" s="332"/>
      <c r="V94" s="332"/>
      <c r="W94" s="332"/>
      <c r="X94" s="332"/>
      <c r="Y94" s="332"/>
      <c r="Z94" s="334"/>
      <c r="AD94" s="5"/>
      <c r="AE94" s="85"/>
      <c r="AF94" s="5"/>
      <c r="AG94" s="86"/>
      <c r="AH94" s="5"/>
      <c r="AI94" s="3"/>
      <c r="AJ94" s="5"/>
      <c r="AK94" s="24"/>
      <c r="AL94" s="5"/>
      <c r="AM94" s="8"/>
      <c r="AN94" s="5"/>
      <c r="AO94" s="8"/>
      <c r="AP94" s="5"/>
      <c r="AQ94" s="3"/>
      <c r="AR94" s="5"/>
      <c r="AS94" s="6"/>
      <c r="AT94" s="5"/>
      <c r="AU94" s="3"/>
      <c r="AV94" s="18"/>
    </row>
    <row r="95" spans="1:48" ht="34.5" customHeight="1" thickBot="1">
      <c r="A95" s="16"/>
      <c r="D95" s="110"/>
      <c r="E95" s="329"/>
      <c r="F95" s="330"/>
      <c r="G95" s="331" t="s">
        <v>270</v>
      </c>
      <c r="H95" s="331" t="s">
        <v>270</v>
      </c>
      <c r="I95" s="331" t="s">
        <v>270</v>
      </c>
      <c r="J95" s="331" t="s">
        <v>270</v>
      </c>
      <c r="K95" s="331"/>
      <c r="L95" s="331"/>
      <c r="M95" s="340"/>
      <c r="N95" s="331"/>
      <c r="O95" s="331"/>
      <c r="P95" s="331"/>
      <c r="Q95" s="331"/>
      <c r="R95" s="331"/>
      <c r="S95" s="331"/>
      <c r="T95" s="331"/>
      <c r="U95" s="331"/>
      <c r="V95" s="331"/>
      <c r="W95" s="331"/>
      <c r="X95" s="331"/>
      <c r="Y95" s="331"/>
      <c r="Z95" s="337"/>
      <c r="AC95" s="20"/>
      <c r="AD95" s="5"/>
      <c r="AE95" s="90"/>
      <c r="AF95" s="5"/>
      <c r="AG95" s="90"/>
      <c r="AH95" s="5"/>
      <c r="AI95" s="3"/>
      <c r="AJ95" s="5"/>
      <c r="AK95" s="24"/>
      <c r="AL95" s="5"/>
      <c r="AM95" s="8"/>
      <c r="AN95" s="5"/>
      <c r="AO95" s="8"/>
      <c r="AP95" s="5"/>
      <c r="AQ95" s="3"/>
      <c r="AR95" s="5"/>
      <c r="AS95" s="6"/>
      <c r="AT95" s="5"/>
      <c r="AU95" s="3"/>
      <c r="AV95" s="18"/>
    </row>
    <row r="96" spans="1:48" ht="19.5" customHeight="1" thickBot="1">
      <c r="E96" s="461"/>
      <c r="F96" s="147"/>
      <c r="Z96" s="18"/>
      <c r="AA96" s="30"/>
      <c r="AB96" s="31"/>
      <c r="AC96" s="20"/>
      <c r="AD96" s="5"/>
      <c r="AE96" s="3"/>
      <c r="AF96" s="5"/>
      <c r="AG96" s="3"/>
      <c r="AH96" s="5"/>
      <c r="AI96" s="3"/>
      <c r="AJ96" s="5"/>
      <c r="AK96" s="24"/>
      <c r="AL96" s="5"/>
      <c r="AM96" s="8"/>
      <c r="AN96" s="5"/>
      <c r="AO96" s="8"/>
      <c r="AP96" s="5"/>
      <c r="AQ96" s="3"/>
      <c r="AR96" s="5"/>
      <c r="AS96" s="6"/>
      <c r="AT96" s="5"/>
      <c r="AV96" s="18"/>
    </row>
    <row r="97" spans="2:48" ht="35.25" customHeight="1" thickBot="1">
      <c r="E97" s="343"/>
      <c r="F97" s="1909" t="s">
        <v>381</v>
      </c>
      <c r="G97" s="1909"/>
      <c r="H97" s="1909"/>
      <c r="I97" s="1909"/>
      <c r="J97" s="1909"/>
      <c r="K97" s="1909"/>
      <c r="L97" s="1909"/>
      <c r="M97" s="1909"/>
      <c r="N97" s="1909"/>
      <c r="O97" s="1909"/>
      <c r="P97" s="1909"/>
      <c r="Q97" s="1909"/>
      <c r="R97" s="1909"/>
      <c r="S97" s="1909"/>
      <c r="T97" s="1909"/>
      <c r="U97" s="1909"/>
      <c r="V97" s="1909"/>
      <c r="W97" s="1909"/>
      <c r="X97" s="1909"/>
      <c r="Y97" s="1909"/>
      <c r="Z97" s="344"/>
      <c r="AD97" s="5"/>
      <c r="AE97" s="3"/>
      <c r="AF97" s="5"/>
      <c r="AG97" s="3"/>
      <c r="AH97" s="5"/>
      <c r="AI97" s="3"/>
      <c r="AJ97" s="5"/>
      <c r="AK97" s="24"/>
      <c r="AL97" s="5"/>
      <c r="AM97" s="8"/>
      <c r="AN97" s="5"/>
      <c r="AO97" s="8"/>
      <c r="AP97" s="5"/>
      <c r="AQ97" s="3"/>
      <c r="AR97" s="5"/>
      <c r="AS97" s="6"/>
      <c r="AT97" s="5"/>
      <c r="AV97" s="18"/>
    </row>
    <row r="98" spans="2:48" ht="62.25" customHeight="1" thickBot="1">
      <c r="E98" s="434"/>
      <c r="F98" s="1952" t="s">
        <v>3127</v>
      </c>
      <c r="G98" s="1952"/>
      <c r="H98" s="1952"/>
      <c r="I98" s="1952"/>
      <c r="J98" s="1952"/>
      <c r="K98" s="1952"/>
      <c r="L98" s="1952"/>
      <c r="M98" s="1952"/>
      <c r="N98" s="1952"/>
      <c r="O98" s="1952"/>
      <c r="P98" s="1952"/>
      <c r="Q98" s="1952"/>
      <c r="R98" s="1952"/>
      <c r="S98" s="1952"/>
      <c r="T98" s="1952"/>
      <c r="U98" s="1952"/>
      <c r="V98" s="1952"/>
      <c r="W98" s="1952"/>
      <c r="X98" s="1952"/>
      <c r="Y98" s="1953"/>
      <c r="Z98" s="347"/>
      <c r="AD98" s="5"/>
      <c r="AE98" s="3"/>
      <c r="AF98" s="5"/>
      <c r="AG98" s="3"/>
      <c r="AH98" s="5"/>
      <c r="AI98" s="3"/>
      <c r="AJ98" s="5"/>
      <c r="AK98" s="24"/>
      <c r="AL98" s="5"/>
      <c r="AM98" s="8"/>
      <c r="AN98" s="5"/>
      <c r="AO98" s="8"/>
      <c r="AP98" s="5"/>
      <c r="AQ98" s="3"/>
      <c r="AR98" s="5"/>
      <c r="AS98" s="6"/>
      <c r="AT98" s="5"/>
      <c r="AV98" s="18"/>
    </row>
    <row r="99" spans="2:48">
      <c r="E99" s="138"/>
      <c r="F99" s="345"/>
      <c r="G99" s="346"/>
      <c r="H99" s="346"/>
      <c r="I99" s="346"/>
      <c r="J99" s="346"/>
      <c r="K99" s="346"/>
      <c r="L99" s="346"/>
      <c r="M99" s="346"/>
      <c r="N99" s="346"/>
      <c r="O99" s="346"/>
      <c r="P99" s="346"/>
      <c r="Q99" s="346"/>
      <c r="R99" s="346"/>
      <c r="S99" s="346"/>
      <c r="T99" s="346"/>
      <c r="U99" s="346"/>
      <c r="V99" s="346"/>
      <c r="W99" s="346"/>
      <c r="X99" s="346"/>
      <c r="Y99" s="346"/>
      <c r="Z99" s="347"/>
      <c r="AD99" s="5"/>
      <c r="AE99" s="3"/>
      <c r="AF99" s="5"/>
      <c r="AG99" s="3"/>
      <c r="AH99" s="5"/>
      <c r="AI99" s="3"/>
      <c r="AJ99" s="5"/>
      <c r="AK99" s="24"/>
      <c r="AL99" s="5"/>
      <c r="AM99" s="8"/>
      <c r="AN99" s="5"/>
      <c r="AO99" s="8"/>
      <c r="AP99" s="5"/>
      <c r="AQ99" s="3"/>
      <c r="AR99" s="5"/>
      <c r="AS99" s="6"/>
      <c r="AT99" s="5"/>
      <c r="AV99" s="18"/>
    </row>
    <row r="100" spans="2:48" ht="16.5" customHeight="1">
      <c r="E100" s="1911" t="s">
        <v>278</v>
      </c>
      <c r="F100" s="1912"/>
      <c r="G100" s="149" t="s">
        <v>287</v>
      </c>
      <c r="H100" s="118"/>
      <c r="I100" s="118"/>
      <c r="J100" s="1968" t="s">
        <v>438</v>
      </c>
      <c r="K100" s="119" t="s">
        <v>76</v>
      </c>
      <c r="L100" s="120" t="s">
        <v>86</v>
      </c>
      <c r="M100" s="121"/>
      <c r="N100" s="1884" t="s">
        <v>382</v>
      </c>
      <c r="O100" s="1884"/>
      <c r="P100" s="1884"/>
      <c r="Q100" s="1884"/>
      <c r="R100" s="1884"/>
      <c r="S100" s="1884"/>
      <c r="T100" s="1884"/>
      <c r="U100" s="1884"/>
      <c r="V100" s="1884"/>
      <c r="W100" s="1884"/>
      <c r="X100" s="1884"/>
      <c r="Y100" s="1885"/>
      <c r="Z100" s="347"/>
      <c r="AA100" s="5"/>
      <c r="AD100" s="5"/>
      <c r="AF100" s="5"/>
      <c r="AH100" s="5"/>
      <c r="AI100" s="20"/>
      <c r="AJ100" s="5"/>
      <c r="AK100" s="26"/>
      <c r="AL100" s="5"/>
      <c r="AM100" s="27"/>
      <c r="AN100" s="5"/>
      <c r="AO100" s="27"/>
      <c r="AP100" s="5"/>
      <c r="AQ100" s="28"/>
      <c r="AR100" s="5"/>
      <c r="AS100" s="28"/>
      <c r="AT100" s="5"/>
      <c r="AU100" s="3"/>
      <c r="AV100" s="18"/>
    </row>
    <row r="101" spans="2:48" ht="16.5" customHeight="1">
      <c r="E101" s="1911"/>
      <c r="F101" s="1912"/>
      <c r="G101" s="122" t="s">
        <v>304</v>
      </c>
      <c r="H101" s="308" t="s">
        <v>1274</v>
      </c>
      <c r="I101" s="108" t="s">
        <v>63</v>
      </c>
      <c r="J101" s="1969"/>
      <c r="K101" s="108" t="s">
        <v>64</v>
      </c>
      <c r="L101" s="113" t="s">
        <v>77</v>
      </c>
      <c r="M101" s="116" t="s">
        <v>78</v>
      </c>
      <c r="N101" s="1886"/>
      <c r="O101" s="1886"/>
      <c r="P101" s="1886"/>
      <c r="Q101" s="1886"/>
      <c r="R101" s="1886"/>
      <c r="S101" s="1886"/>
      <c r="T101" s="1886"/>
      <c r="U101" s="1886"/>
      <c r="V101" s="1886"/>
      <c r="W101" s="1886"/>
      <c r="X101" s="1886"/>
      <c r="Y101" s="1887"/>
      <c r="Z101" s="347"/>
      <c r="AA101" s="5"/>
      <c r="AD101" s="20"/>
      <c r="AE101" s="20"/>
      <c r="AF101" s="20"/>
      <c r="AG101" s="20"/>
      <c r="AH101" s="20"/>
      <c r="AI101" s="3"/>
      <c r="AJ101" s="5"/>
      <c r="AK101" s="24"/>
      <c r="AL101" s="5"/>
      <c r="AM101" s="8"/>
      <c r="AN101" s="5"/>
      <c r="AO101" s="8"/>
      <c r="AP101" s="5"/>
      <c r="AQ101" s="24"/>
      <c r="AR101" s="5"/>
      <c r="AT101" s="5"/>
      <c r="AU101" s="3"/>
      <c r="AV101" s="18"/>
    </row>
    <row r="102" spans="2:48" ht="24.75" customHeight="1">
      <c r="E102" s="1911"/>
      <c r="F102" s="1912"/>
      <c r="G102" s="123" t="s">
        <v>36</v>
      </c>
      <c r="H102" s="309" t="s">
        <v>412</v>
      </c>
      <c r="I102" s="114" t="s">
        <v>80</v>
      </c>
      <c r="J102" s="115" t="s">
        <v>283</v>
      </c>
      <c r="K102" s="114" t="s">
        <v>81</v>
      </c>
      <c r="L102" s="115" t="s">
        <v>82</v>
      </c>
      <c r="M102" s="117" t="s">
        <v>81</v>
      </c>
      <c r="N102" s="114" t="s">
        <v>276</v>
      </c>
      <c r="O102" s="114" t="s">
        <v>277</v>
      </c>
      <c r="P102" s="114" t="s">
        <v>88</v>
      </c>
      <c r="Q102" s="114" t="s">
        <v>89</v>
      </c>
      <c r="R102" s="114" t="s">
        <v>39</v>
      </c>
      <c r="S102" s="114" t="s">
        <v>40</v>
      </c>
      <c r="T102" s="114" t="s">
        <v>41</v>
      </c>
      <c r="U102" s="114" t="s">
        <v>92</v>
      </c>
      <c r="V102" s="114" t="s">
        <v>275</v>
      </c>
      <c r="W102" s="114" t="s">
        <v>94</v>
      </c>
      <c r="X102" s="114" t="s">
        <v>95</v>
      </c>
      <c r="Y102" s="117" t="s">
        <v>96</v>
      </c>
      <c r="Z102" s="347"/>
      <c r="AD102" s="20"/>
      <c r="AE102" s="20"/>
      <c r="AF102" s="20"/>
      <c r="AG102" s="20"/>
      <c r="AH102" s="20"/>
      <c r="AI102" s="3"/>
      <c r="AJ102" s="5"/>
      <c r="AL102" s="5"/>
      <c r="AN102" s="5"/>
    </row>
    <row r="103" spans="2:48" ht="16" customHeight="1">
      <c r="E103" s="138"/>
      <c r="F103" s="348"/>
      <c r="G103" s="1888">
        <v>1</v>
      </c>
      <c r="H103" s="176"/>
      <c r="I103" s="34"/>
      <c r="J103" s="9" t="str">
        <f>IF(Kind1="","",VLOOKUP(Kind1,ForageGrowthCurves!$A$6:'ForageGrowthCurves'!$Q$29,17,FALSE))</f>
        <v/>
      </c>
      <c r="K103" s="12" t="str">
        <f>IF(I103="","",I103*J103)</f>
        <v/>
      </c>
      <c r="L103" s="1038" t="str">
        <f>IF(ISBLANK(Acres1)="",(VLOOKUP(ROUND(TotalAcreGrazed/Acres1,0),[0]!PastureEffTable,2,)),"")</f>
        <v/>
      </c>
      <c r="M103" s="12" t="str">
        <f>IF(I103="","",K103*L103/100)</f>
        <v/>
      </c>
      <c r="N103" s="9" t="str">
        <f>IF($H103="","",IF(HayMonth1=0,VLOOKUP($H103,FORAGE2,3)*($M103),IF(AND(HayMonth1&gt;0,HayMonth1&lt;1),VLOOKUP($H103,FORAGE2,3)*($M103),0)))</f>
        <v/>
      </c>
      <c r="O103" s="9" t="str">
        <f>IF($H103="","",IF(HayMonth1=0,VLOOKUP($H103,FORAGE2,4)*($M103),IF(AND(HayMonth1&gt;0,HayMonth1&lt;2),VLOOKUP($H103,FORAGE2,4)*($M103),0)))</f>
        <v/>
      </c>
      <c r="P103" s="9" t="str">
        <f>IF($H103="","",IF(HayMonth1=0,VLOOKUP($H103,FORAGE2,5)*($M103),IF(AND(HayMonth1&gt;0,HayMonth1&lt;3),VLOOKUP($H103,FORAGE2,5)*($M103),0)))</f>
        <v/>
      </c>
      <c r="Q103" s="9" t="str">
        <f>IF($H103="","",IF(HayMonth1=0,VLOOKUP($H103,FORAGE2,6)*($M103),IF(AND(HayMonth1&gt;0,HayMonth1&lt;4),VLOOKUP($H103,FORAGE2,6)*($M103),0)))</f>
        <v/>
      </c>
      <c r="R103" s="9" t="str">
        <f>IF($H103="","",IF(HayMonth1=0,VLOOKUP($H103,FORAGE2,7)*($M103),IF(AND(HayMonth1&gt;0,HayMonth1&lt;5),VLOOKUP($H103,FORAGE2,7)*($M103),0)))</f>
        <v/>
      </c>
      <c r="S103" s="9" t="str">
        <f>IF($H103="","",IF(HayMonth1=0,VLOOKUP($H103,FORAGE2,8)*($M103),IF(AND(HayMonth1&gt;0,HayMonth1&lt;6),VLOOKUP($H103,FORAGE2,8)*($M103),0)))</f>
        <v/>
      </c>
      <c r="T103" s="9" t="str">
        <f>IF($H103="","",IF(HayMonth1=0,VLOOKUP($H103,FORAGE2,9)*($M103),IF(AND(HayMonth1&gt;0,HayMonth1&lt;7),VLOOKUP($H103,FORAGE2,9)*($M103),0)))</f>
        <v/>
      </c>
      <c r="U103" s="9" t="str">
        <f>IF($H103="","",IF(HayMonth1=0,VLOOKUP($H103,FORAGE2,10)*($M103),IF(AND(HayMonth1&gt;0,HayMonth1&lt;8),VLOOKUP($H103,FORAGE2,10)*($M103),0)))</f>
        <v/>
      </c>
      <c r="V103" s="9" t="str">
        <f>IF($H103="","",IF(HayMonth1=0,VLOOKUP($H103,FORAGE2,11)*($M103),IF(AND(HayMonth1&gt;0,HayMonth1&lt;9),VLOOKUP($H103,FORAGE2,11)*($M103),0)))</f>
        <v/>
      </c>
      <c r="W103" s="9" t="str">
        <f>IF($H103="","",IF(HayMonth1=0,VLOOKUP($H103,FORAGE2,12)*($M103),IF(AND(HayMonth1&gt;0,HayMonth1&lt;10),VLOOKUP($H103,FORAGE2,12)*($M103),0)))</f>
        <v/>
      </c>
      <c r="X103" s="9" t="str">
        <f>IF($H103="","",IF(HayMonth1=0,VLOOKUP($H103,FORAGE2,13)*($M103),IF(AND(HayMonth1&gt;0,HayMonth1&lt;11),VLOOKUP($H103,FORAGE2,13)*($M103),0)))</f>
        <v/>
      </c>
      <c r="Y103" s="9" t="str">
        <f>IF($H103="","",IF(HayMonth1=0,VLOOKUP($H103,FORAGE2,14)*($M103),IF(AND(HayMonth1&gt;0,HayMonth1&lt;12),VLOOKUP($H103,FORAGE2,14)*($M103),0)))</f>
        <v/>
      </c>
      <c r="Z103" s="347"/>
      <c r="AN103" s="5"/>
      <c r="AP103" s="5"/>
      <c r="AR103" s="5"/>
      <c r="AT103" s="5"/>
      <c r="AU103" s="3"/>
      <c r="AV103" s="18"/>
    </row>
    <row r="104" spans="2:48" ht="15.75" customHeight="1">
      <c r="E104" s="138"/>
      <c r="F104" s="139"/>
      <c r="G104" s="1889"/>
      <c r="H104" s="792"/>
      <c r="I104" s="851"/>
      <c r="J104" s="852" t="str">
        <f>IF(HayMonth1=0,"",IF(HayMonth1=1,"Jan",IF(HayMonth1=2,"Feb",IF(HayMonth1=3,"Mar",IF(HayMonth1=4,"Apr",IF(HayMonth1=5,"May",IF(HayMonth1=6,"Jun",IF(HayMonth1=7,"Jul",IF(HayMonth1=8,"Aug",IF(HayMonth1=9,"Sep",IF(HayMonth1=10,"Oct",IF(HayMonth1=11,"Nov","Dec"))))))))))))</f>
        <v/>
      </c>
      <c r="K104" s="178"/>
      <c r="L104" s="789"/>
      <c r="M104" s="97"/>
      <c r="N104" s="89"/>
      <c r="O104" s="89"/>
      <c r="P104" s="96"/>
      <c r="Q104" s="87"/>
      <c r="R104" s="89"/>
      <c r="S104" s="89"/>
      <c r="T104" s="89"/>
      <c r="U104" s="89"/>
      <c r="V104" s="89"/>
      <c r="W104" s="89"/>
      <c r="X104" s="89"/>
      <c r="Y104" s="95"/>
      <c r="Z104" s="347"/>
      <c r="AM104" s="20"/>
      <c r="AN104" s="20"/>
      <c r="AO104" s="20"/>
      <c r="AP104" s="20"/>
      <c r="AR104" s="5"/>
      <c r="AT104" s="5"/>
      <c r="AV104" s="18"/>
    </row>
    <row r="105" spans="2:48" ht="16" customHeight="1">
      <c r="E105" s="138"/>
      <c r="F105" s="139"/>
      <c r="G105" s="1888">
        <v>2</v>
      </c>
      <c r="H105" s="176"/>
      <c r="I105" s="34"/>
      <c r="J105" s="9" t="str">
        <f>IF(Kind2="","",VLOOKUP(Kind2,ForageGrowthCurves!$A$6:'ForageGrowthCurves'!$Q$29,17,FALSE))</f>
        <v/>
      </c>
      <c r="K105" s="9" t="str">
        <f>IF(I105="","",I105*J105)</f>
        <v/>
      </c>
      <c r="L105" s="1038" t="str">
        <f>IF(ISBLANK(Acres2)="",(VLOOKUP(ROUND(TotalAcreGrazed/Acres2,0),[0]!PastureEffTable,2,)),"")</f>
        <v/>
      </c>
      <c r="M105" s="12" t="str">
        <f>IF(I105="","",K105*L105/100)</f>
        <v/>
      </c>
      <c r="N105" s="12" t="str">
        <f>IF($H105="","",IF(HayMonth2=0,VLOOKUP($H105,FORAGE2,3)*($M105),IF(AND(HayMonth2&gt;0,HayMonth1&lt;4),VLOOKUP($H105,FORAGE2,3)*($M105),0)))</f>
        <v/>
      </c>
      <c r="O105" s="12" t="str">
        <f>IF($H105="","",IF(HayMonth2=0,VLOOKUP($H105,FORAGE2,4)*($M105),IF(AND(HayMonth2&gt;0,HayMonth2&lt;2),VLOOKUP($H105,FORAGE2,4)*($M105),0)))</f>
        <v/>
      </c>
      <c r="P105" s="12" t="str">
        <f>IF($H105="","",IF(HayMonth2=0,VLOOKUP($H105,FORAGE2,5)*($M105),IF(AND(HayMonth2&gt;0,HayMonth2&lt;3),VLOOKUP($H105,FORAGE2,5)*($M105),0)))</f>
        <v/>
      </c>
      <c r="Q105" s="12" t="str">
        <f>IF($H105="","",IF(HayMonth2=0,VLOOKUP($H105,FORAGE2,6)*($M105),IF(AND(HayMonth2&gt;0,HayMonth2&lt;4),VLOOKUP($H105,FORAGE2,6)*($M105),0)))</f>
        <v/>
      </c>
      <c r="R105" s="12" t="str">
        <f>IF($H105="","",IF(HayMonth2=0,VLOOKUP($H105,FORAGE2,7)*($M105),IF(AND(HayMonth2&gt;0,HayMonth2&lt;5),VLOOKUP($H105,FORAGE2,7)*($M105),0)))</f>
        <v/>
      </c>
      <c r="S105" s="12" t="str">
        <f>IF($H105="","",IF(HayMonth2=0,VLOOKUP($H105,FORAGE2,8)*($M105),IF(AND(HayMonth2&gt;0,HayMonth2&lt;6),VLOOKUP($H105,FORAGE2,8)*($M105),0)))</f>
        <v/>
      </c>
      <c r="T105" s="12" t="str">
        <f>IF($H105="","",IF(HayMonth2=0,VLOOKUP($H105,FORAGE2,9)*($M105),IF(AND(HayMonth2&gt;0,HayMonth2&lt;7),VLOOKUP($H105,FORAGE2,9)*($M105),0)))</f>
        <v/>
      </c>
      <c r="U105" s="12" t="str">
        <f>IF($H105="","",IF(HayMonth2=0,VLOOKUP($H105,FORAGE2,10)*($M105),IF(AND(HayMonth2&gt;0,HayMonth2&lt;8),VLOOKUP($H105,FORAGE2,10)*($M105),0)))</f>
        <v/>
      </c>
      <c r="V105" s="12" t="str">
        <f>IF($H105="","",IF(HayMonth2=0,VLOOKUP($H105,FORAGE2,11)*($M105),IF(AND(HayMonth2&gt;0,HayMonth2&lt;9),VLOOKUP($H105,FORAGE2,11)*($M105),0)))</f>
        <v/>
      </c>
      <c r="W105" s="12" t="str">
        <f>IF($H105="","",IF(HayMonth2=0,VLOOKUP($H105,FORAGE2,12)*($M105),IF(AND(HayMonth2&gt;0,HayMonth2&lt;10),VLOOKUP($H105,FORAGE2,12)*($M105),0)))</f>
        <v/>
      </c>
      <c r="X105" s="12" t="str">
        <f>IF($H105="","",IF(HayMonth2=0,VLOOKUP($H105,FORAGE2,13)*($M105),IF(AND(HayMonth2&gt;0,HayMonth2&lt;11),VLOOKUP($H105,FORAGE2,13)*($M105),0)))</f>
        <v/>
      </c>
      <c r="Y105" s="12" t="str">
        <f>IF($H105="","",IF(HayMonth2=0,VLOOKUP($H105,FORAGE2,14)*($M105),IF(AND(HayMonth2&gt;0,HayMonth2&lt;12),VLOOKUP($H105,FORAGE2,14)*($M105),0)))</f>
        <v/>
      </c>
      <c r="Z105" s="350"/>
      <c r="AM105" s="20"/>
      <c r="AN105" s="20"/>
      <c r="AO105" s="20"/>
      <c r="AP105" s="20"/>
      <c r="AQ105" s="20"/>
      <c r="AR105" s="20"/>
      <c r="AS105" s="20"/>
      <c r="AT105" s="20"/>
      <c r="AU105" s="20"/>
      <c r="AV105" s="18"/>
    </row>
    <row r="106" spans="2:48" ht="15.75" customHeight="1">
      <c r="E106" s="138"/>
      <c r="F106" s="139"/>
      <c r="G106" s="1889"/>
      <c r="H106" s="792"/>
      <c r="I106" s="851"/>
      <c r="J106" s="852" t="str">
        <f>IF(HayMonth2=0,"",IF(HayMonth2=1,"Jan",IF(HayMonth2=2,"Feb",IF(HayMonth2=3,"Mar",IF(HayMonth2=4,"Apr",IF(HayMonth2=5,"May",IF(HayMonth2=6,"Jun",IF(HayMonth2=7,"Jul",IF(HayMonth2=8,"Aug",IF(HayMonth2=9,"Sep",IF(HayMonth2=10,"Oct",IF(HayMonth2=11,"Nov","Dec"))))))))))))</f>
        <v/>
      </c>
      <c r="K106" s="99"/>
      <c r="L106" s="1009"/>
      <c r="M106" s="89"/>
      <c r="N106" s="89"/>
      <c r="O106" s="89"/>
      <c r="P106" s="89"/>
      <c r="Q106" s="87"/>
      <c r="R106" s="89"/>
      <c r="S106" s="89"/>
      <c r="T106" s="89"/>
      <c r="U106" s="89"/>
      <c r="V106" s="89"/>
      <c r="W106" s="89"/>
      <c r="X106" s="89"/>
      <c r="Y106" s="95"/>
      <c r="Z106" s="347"/>
      <c r="AO106" s="8"/>
      <c r="AQ106" s="20"/>
      <c r="AR106" s="20"/>
      <c r="AS106" s="20"/>
      <c r="AT106" s="20"/>
      <c r="AU106" s="20"/>
      <c r="AV106" s="18"/>
    </row>
    <row r="107" spans="2:48" ht="16" customHeight="1">
      <c r="E107" s="138"/>
      <c r="F107" s="139"/>
      <c r="G107" s="1888">
        <v>3</v>
      </c>
      <c r="H107" s="176"/>
      <c r="I107" s="34"/>
      <c r="J107" s="9" t="str">
        <f>IF(Kind3="","",VLOOKUP(Kind3,ForageGrowthCurves!$A$6:'ForageGrowthCurves'!$Q$29,17,FALSE))</f>
        <v/>
      </c>
      <c r="K107" s="9" t="str">
        <f>IF(I107="","",I107*J107)</f>
        <v/>
      </c>
      <c r="L107" s="1038" t="str">
        <f>IF(ISBLANK(Acres3)="",(VLOOKUP(ROUND(TotalAcreGrazed/Acres3,0),[0]!PastureEffTable,2,)),"")</f>
        <v/>
      </c>
      <c r="M107" s="12" t="str">
        <f>IF(I107="","",K107*L107/100)</f>
        <v/>
      </c>
      <c r="N107" s="12" t="str">
        <f>IF($H107="","",IF(HayMonth3=0,VLOOKUP($H107,FORAGE2,3)*($M107),IF(AND(HayMonth3&gt;0,HayMonth3&lt;1),VLOOKUP($H107,FORAGE2,3)*($M107),0)))</f>
        <v/>
      </c>
      <c r="O107" s="12" t="str">
        <f>IF($H107="","",IF(HayMonth3=0,VLOOKUP($H107,FORAGE2,4)*($M107),IF(AND(HayMonth3&gt;0,HayMonth3&lt;2),VLOOKUP($H107,FORAGE2,4)*($M107),0)))</f>
        <v/>
      </c>
      <c r="P107" s="12" t="str">
        <f>IF($H107="","",IF(HayMonth3=0,VLOOKUP($H107,FORAGE2,5)*($M107),IF(AND(HayMonth3&gt;0,HayMonth3&lt;3),VLOOKUP($H107,FORAGE2,5)*($M107),0)))</f>
        <v/>
      </c>
      <c r="Q107" s="12" t="str">
        <f>IF($H107="","",IF(HayMonth3=0,VLOOKUP($H107,FORAGE2,6)*($M107),IF(AND(HayMonth3&gt;0,HayMonth3&lt;4),VLOOKUP($H107,FORAGE2,6)*($M107),0)))</f>
        <v/>
      </c>
      <c r="R107" s="12" t="str">
        <f>IF($H107="","",IF(HayMonth3=0,VLOOKUP($H107,FORAGE2,7)*($M107),IF(AND(HayMonth3&gt;0,HayMonth3&lt;5),VLOOKUP($H107,FORAGE2,7)*($M107),0)))</f>
        <v/>
      </c>
      <c r="S107" s="12" t="str">
        <f>IF($H107="","",IF(HayMonth3=0,VLOOKUP($H107,FORAGE2,8)*($M107),IF(AND(HayMonth3&gt;0,HayMonth3&lt;6),VLOOKUP($H107,FORAGE2,8)*($M107),0)))</f>
        <v/>
      </c>
      <c r="T107" s="12" t="str">
        <f>IF($H107="","",IF(HayMonth3=0,VLOOKUP($H107,FORAGE2,9)*($M107),IF(AND(HayMonth3&gt;0,HayMonth3&lt;7),VLOOKUP($H107,FORAGE2,9)*($M107),0)))</f>
        <v/>
      </c>
      <c r="U107" s="12" t="str">
        <f>IF($H107="","",IF(HayMonth3=0,VLOOKUP($H107,FORAGE2,10)*($M107),IF(AND(HayMonth3&gt;0,HayMonth3&lt;8),VLOOKUP($H107,FORAGE2,10)*($M107),0)))</f>
        <v/>
      </c>
      <c r="V107" s="12" t="str">
        <f>IF($H107="","",IF(HayMonth3=0,VLOOKUP($H107,FORAGE2,11)*($M107),IF(AND(HayMonth3&gt;0,HayMonth3&lt;9),VLOOKUP($H107,FORAGE2,11)*($M107),0)))</f>
        <v/>
      </c>
      <c r="W107" s="12" t="str">
        <f>IF($H107="","",IF(HayMonth3=0,VLOOKUP($H107,FORAGE2,12)*($M107),IF(AND(HayMonth3&gt;0,HayMonth3&lt;10),VLOOKUP($H107,FORAGE2,12)*($M107),0)))</f>
        <v/>
      </c>
      <c r="X107" s="12" t="str">
        <f>IF($H107="","",IF(HayMonth3=0,VLOOKUP($H107,FORAGE2,13)*($M107),IF(AND(HayMonth3&gt;0,HayMonth3&lt;11),VLOOKUP($H107,FORAGE2,13)*($M107),0)))</f>
        <v/>
      </c>
      <c r="Y107" s="12" t="str">
        <f>IF($H107="","",IF(HayMonth3=0,VLOOKUP($H107,FORAGE2,14)*($M107),IF(AND(HayMonth3&gt;0,HayMonth3&lt;12),VLOOKUP($H107,FORAGE2,14)*($M107),0)))</f>
        <v/>
      </c>
      <c r="Z107" s="347"/>
      <c r="AO107" s="8"/>
      <c r="AQ107" s="5"/>
      <c r="AV107" s="18"/>
    </row>
    <row r="108" spans="2:48" ht="15.75" customHeight="1">
      <c r="E108" s="138"/>
      <c r="F108" s="139"/>
      <c r="G108" s="1889"/>
      <c r="H108" s="792"/>
      <c r="I108" s="851" t="str">
        <f>IF(HayMonth3&gt;0,"Hay cut in:","")</f>
        <v/>
      </c>
      <c r="J108" s="852" t="str">
        <f>IF(HayMonth3=0,"",IF(HayMonth3=1,"Jan",IF(HayMonth3=2,"Feb",IF(HayMonth3=3,"Mar",IF(HayMonth3=4,"Apr",IF(HayMonth3=5,"May",IF(HayMonth3=6,"Jun",IF(HayMonth3=7,"Jul",IF(HayMonth3=8,"Aug",IF(HayMonth3=9,"Sep",IF(HayMonth3=10,"Oct",IF(HayMonth3=11,"Nov","Dec"))))))))))))</f>
        <v/>
      </c>
      <c r="K108" s="177"/>
      <c r="L108" s="1009"/>
      <c r="M108" s="89"/>
      <c r="Z108" s="347"/>
      <c r="AQ108" s="5"/>
      <c r="AV108" s="18"/>
    </row>
    <row r="109" spans="2:48" ht="16" customHeight="1">
      <c r="E109" s="138"/>
      <c r="F109" s="139"/>
      <c r="G109" s="1888">
        <v>4</v>
      </c>
      <c r="H109" s="176"/>
      <c r="I109" s="34"/>
      <c r="J109" s="9" t="str">
        <f>IF(Kind4="","",VLOOKUP(Kind4,ForageGrowthCurves!$A$6:'ForageGrowthCurves'!$Q$29,17,FALSE))</f>
        <v/>
      </c>
      <c r="K109" s="9" t="str">
        <f>IF(I109="","",I109*J109)</f>
        <v/>
      </c>
      <c r="L109" s="1038" t="str">
        <f>IF(ISBLANK(Acres4)="",(VLOOKUP(ROUND(TotalAcreGrazed/Acres4,0),[0]!PastureEffTable,2,)),"")</f>
        <v/>
      </c>
      <c r="M109" s="12" t="str">
        <f>IF(I109="","",K109*L109/100)</f>
        <v/>
      </c>
      <c r="N109" s="9" t="str">
        <f>IF($H109="","",IF(HayMonth4=0,VLOOKUP($H109,FORAGE2,3)*($M109),IF(AND(HayMonth4&gt;0,HayMonth4&lt;1),VLOOKUP($H109,FORAGE2,3)*($M109),0)))</f>
        <v/>
      </c>
      <c r="O109" s="9" t="str">
        <f>IF($H109="","",IF(HayMonth4=0,VLOOKUP($H109,FORAGE2,4)*($M109),IF(AND(HayMonth4&gt;0,HayMonth4&lt;2),VLOOKUP($H109,FORAGE2,4)*($M109),0)))</f>
        <v/>
      </c>
      <c r="P109" s="9" t="str">
        <f>IF($H109="","",IF(HayMonth4=0,VLOOKUP($H109,FORAGE2,5)*($M109),IF(AND(HayMonth4&gt;0,HayMonth4&lt;3),VLOOKUP($H109,FORAGE2,5)*($M109),0)))</f>
        <v/>
      </c>
      <c r="Q109" s="9" t="str">
        <f>IF($H109="","",IF(HayMonth4=0,VLOOKUP($H109,FORAGE2,6)*($M109),IF(AND(HayMonth4&gt;0,HayMonth4&lt;4),VLOOKUP($H109,FORAGE2,6)*($M109),0)))</f>
        <v/>
      </c>
      <c r="R109" s="9" t="str">
        <f>IF($H109="","",IF(HayMonth4=0,VLOOKUP($H109,FORAGE2,7)*($M109),IF(AND(HayMonth4&gt;0,HayMonth4&lt;5),VLOOKUP($H109,FORAGE2,7)*($M109),0)))</f>
        <v/>
      </c>
      <c r="S109" s="9" t="str">
        <f>IF($H109="","",IF(HayMonth4=0,VLOOKUP($H109,FORAGE2,8)*($M109),IF(AND(HayMonth4&gt;0,HayMonth4&lt;6),VLOOKUP($H109,FORAGE2,8)*($M109),0)))</f>
        <v/>
      </c>
      <c r="T109" s="9" t="str">
        <f>IF($H109="","",IF(HayMonth4=0,VLOOKUP($H109,FORAGE2,9)*($M109),IF(AND(HayMonth4&gt;0,HayMonth4&lt;7),VLOOKUP($H109,FORAGE2,9)*($M109),0)))</f>
        <v/>
      </c>
      <c r="U109" s="9" t="str">
        <f>IF($H109="","",IF(HayMonth4=0,VLOOKUP($H109,FORAGE2,10)*($M109),IF(AND(HayMonth4&gt;0,HayMonth4&lt;8),VLOOKUP($H109,FORAGE2,10)*($M109),0)))</f>
        <v/>
      </c>
      <c r="V109" s="9" t="str">
        <f>IF($H109="","",IF(HayMonth4=0,VLOOKUP($H109,FORAGE2,11)*($M109),IF(AND(HayMonth4&gt;0,HayMonth4&lt;9),VLOOKUP($H109,FORAGE2,11)*($M109),0)))</f>
        <v/>
      </c>
      <c r="W109" s="9" t="str">
        <f>IF($H109="","",IF(HayMonth4=0,VLOOKUP($H109,FORAGE2,12)*($M109),IF(AND(HayMonth4&gt;0,HayMonth4&lt;10),VLOOKUP($H109,FORAGE2,12)*($M109),0)))</f>
        <v/>
      </c>
      <c r="X109" s="9" t="str">
        <f>IF($H109="","",IF(HayMonth4=0,VLOOKUP($H109,FORAGE2,13)*($M109),IF(AND(HayMonth4&gt;0,HayMonth4&lt;11),VLOOKUP($H109,FORAGE2,13)*($M109),0)))</f>
        <v/>
      </c>
      <c r="Y109" s="9" t="str">
        <f>IF($H109="","",IF(HayMonth4=0,VLOOKUP($H109,FORAGE2,14)*($M109),IF(AND(HayMonth4&gt;0,HayMonth4&lt;12),VLOOKUP($H109,FORAGE2,14)*($M109),0)))</f>
        <v/>
      </c>
      <c r="Z109" s="347"/>
      <c r="AV109" s="18"/>
    </row>
    <row r="110" spans="2:48" ht="15.75" customHeight="1">
      <c r="E110" s="138"/>
      <c r="F110" s="139"/>
      <c r="G110" s="1889"/>
      <c r="H110" s="792"/>
      <c r="I110" s="851" t="str">
        <f>IF(HayMonth4&gt;0,"Hay cut in:","")</f>
        <v/>
      </c>
      <c r="J110" s="852" t="str">
        <f>IF(HayMonth4=0,"",IF(HayMonth4=1,"Jan",IF(HayMonth4=2,"Feb",IF(HayMonth4=3,"Mar",IF(HayMonth4=4,"Apr",IF(HayMonth4=5,"May",IF(HayMonth4=6,"Jun",IF(HayMonth4=7,"Jul",IF(HayMonth4=8,"Aug",IF(HayMonth4=9,"Sep",IF(HayMonth4=10,"Oct",IF(HayMonth4=11,"Nov","Dec"))))))))))))</f>
        <v/>
      </c>
      <c r="K110" s="99"/>
      <c r="L110" s="1009"/>
      <c r="M110" s="89"/>
      <c r="N110" s="89"/>
      <c r="O110" s="89"/>
      <c r="P110" s="89"/>
      <c r="Q110" s="87"/>
      <c r="R110" s="89"/>
      <c r="S110" s="89"/>
      <c r="T110" s="89"/>
      <c r="U110" s="89"/>
      <c r="V110" s="89"/>
      <c r="W110" s="89"/>
      <c r="X110" s="89"/>
      <c r="Y110" s="95"/>
      <c r="Z110" s="347"/>
      <c r="AM110" s="5"/>
      <c r="AQ110" s="18"/>
      <c r="AV110" s="18"/>
    </row>
    <row r="111" spans="2:48" ht="16" customHeight="1">
      <c r="B111" s="29"/>
      <c r="E111" s="138"/>
      <c r="F111" s="139"/>
      <c r="G111" s="1888">
        <v>5</v>
      </c>
      <c r="H111" s="176"/>
      <c r="I111" s="34"/>
      <c r="J111" s="9" t="str">
        <f>IF(Kind5="","",VLOOKUP(Kind5,ForageGrowthCurves!$A$6:'ForageGrowthCurves'!$Q$29,17,FALSE))</f>
        <v/>
      </c>
      <c r="K111" s="9" t="str">
        <f>IF(I111="","",I111*J111)</f>
        <v/>
      </c>
      <c r="L111" s="1038" t="str">
        <f>IF(ISBLANK(Acres5)="",(VLOOKUP(ROUND(TotalAcreGrazed/Acres5,0),[0]!PastureEffTable,2,)),"")</f>
        <v/>
      </c>
      <c r="M111" s="12" t="str">
        <f>IF(I111="","",K111*L111/100)</f>
        <v/>
      </c>
      <c r="N111" s="12" t="str">
        <f>IF($H111="","",IF(HayMonth5=0,VLOOKUP($H111,FORAGE2,3)*($M111),IF(AND(HayMonth5&gt;0,HayMonth5&lt;1),VLOOKUP($H111,FORAGE2,3)*($M111),0)))</f>
        <v/>
      </c>
      <c r="O111" s="12" t="str">
        <f>IF($H111="","",IF(HayMonth5=0,VLOOKUP($H111,FORAGE2,4)*($M111),IF(AND(HayMonth5&gt;0,HayMonth5&lt;2),VLOOKUP($H111,FORAGE2,4)*($M111),0)))</f>
        <v/>
      </c>
      <c r="P111" s="12" t="str">
        <f>IF($H111="","",IF(HayMonth5=0,VLOOKUP($H111,FORAGE2,5)*($M111),IF(AND(HayMonth5&gt;0,HayMonth5&lt;3),VLOOKUP($H111,FORAGE2,5)*($M111),0)))</f>
        <v/>
      </c>
      <c r="Q111" s="12" t="str">
        <f>IF($H111="","",IF(HayMonth5=0,VLOOKUP($H111,FORAGE2,6)*($M111),IF(AND(HayMonth5&gt;0,HayMonth5&lt;4),VLOOKUP($H111,FORAGE2,6)*($M111),0)))</f>
        <v/>
      </c>
      <c r="R111" s="12" t="str">
        <f>IF($H111="","",IF(HayMonth5=0,VLOOKUP($H111,FORAGE2,7)*($M111),IF(AND(HayMonth5&gt;0,HayMonth5&lt;5),VLOOKUP($H111,FORAGE2,7)*($M111),0)))</f>
        <v/>
      </c>
      <c r="S111" s="12" t="str">
        <f>IF($H111="","",IF(HayMonth5=0,VLOOKUP($H111,FORAGE2,8)*($M111),IF(AND(HayMonth5&gt;0,HayMonth5&lt;6),VLOOKUP($H111,FORAGE2,8)*($M111),0)))</f>
        <v/>
      </c>
      <c r="T111" s="12" t="str">
        <f>IF($H111="","",IF(HayMonth5=0,VLOOKUP($H111,FORAGE2,9)*($M111),IF(AND(HayMonth5&gt;0,HayMonth5&lt;7),VLOOKUP($H111,FORAGE2,9)*($M111),0)))</f>
        <v/>
      </c>
      <c r="U111" s="12" t="str">
        <f>IF($H111="","",IF(HayMonth5=0,VLOOKUP($H111,FORAGE2,10)*($M111),IF(AND(HayMonth5&gt;0,HayMonth5&lt;8),VLOOKUP($H111,FORAGE2,10)*($M111),0)))</f>
        <v/>
      </c>
      <c r="V111" s="12" t="str">
        <f>IF($H111="","",IF(HayMonth5=0,VLOOKUP($H111,FORAGE2,11)*($M111),IF(AND(HayMonth5&gt;0,HayMonth5&lt;9),VLOOKUP($H111,FORAGE2,11)*($M111),0)))</f>
        <v/>
      </c>
      <c r="W111" s="12" t="str">
        <f>IF($H111="","",IF(HayMonth5=0,VLOOKUP($H111,FORAGE2,12)*($M111),IF(AND(HayMonth5&gt;0,HayMonth5&lt;10),VLOOKUP($H111,FORAGE2,12)*($M111),0)))</f>
        <v/>
      </c>
      <c r="X111" s="12" t="str">
        <f>IF($H111="","",IF(HayMonth5=0,VLOOKUP($H111,FORAGE2,13)*($M111),IF(AND(HayMonth5&gt;0,HayMonth5&lt;11),VLOOKUP($H111,FORAGE2,13)*($M111),0)))</f>
        <v/>
      </c>
      <c r="Y111" s="12" t="str">
        <f>IF($H111="","",IF(HayMonth5=0,VLOOKUP($H111,FORAGE2,14)*($M111),IF(AND(HayMonth5&gt;0,HayMonth5&lt;12),VLOOKUP($H111,FORAGE2,14)*($M111),0)))</f>
        <v/>
      </c>
      <c r="Z111" s="347"/>
      <c r="AM111" s="5"/>
      <c r="AR111" s="30"/>
      <c r="AV111" s="18"/>
    </row>
    <row r="112" spans="2:48" ht="15.75" customHeight="1">
      <c r="D112" s="23"/>
      <c r="E112" s="349"/>
      <c r="F112" s="139"/>
      <c r="G112" s="1889"/>
      <c r="H112" s="792"/>
      <c r="I112" s="851" t="str">
        <f>IF(HayMonth5&gt;0,"Hay cut in:","")</f>
        <v/>
      </c>
      <c r="J112" s="852" t="str">
        <f>IF(HayMonth5=0,"",IF(HayMonth5=1,"Jan",IF(HayMonth5=2,"Feb",IF(HayMonth5=3,"Mar",IF(HayMonth5=4,"Apr",IF(HayMonth5=5,"May",IF(HayMonth5=6,"Jun",IF(HayMonth5=7,"Jul",IF(HayMonth5=8,"Aug",IF(HayMonth5=9,"Sep",IF(HayMonth5=10,"Oct",IF(HayMonth5=11,"Nov","Dec"))))))))))))</f>
        <v/>
      </c>
      <c r="K112" s="99"/>
      <c r="L112" s="1009"/>
      <c r="M112" s="89"/>
      <c r="N112" s="89"/>
      <c r="O112" s="89"/>
      <c r="P112" s="89"/>
      <c r="Q112" s="87"/>
      <c r="R112" s="89"/>
      <c r="S112" s="89"/>
      <c r="T112" s="89"/>
      <c r="U112" s="89"/>
      <c r="V112" s="89"/>
      <c r="W112" s="89"/>
      <c r="X112" s="89"/>
      <c r="Y112" s="95"/>
      <c r="Z112" s="347"/>
      <c r="AM112" s="5"/>
      <c r="AR112" s="5"/>
      <c r="AV112" s="18"/>
    </row>
    <row r="113" spans="4:48" ht="16" customHeight="1">
      <c r="D113" s="23"/>
      <c r="E113" s="349"/>
      <c r="F113" s="139"/>
      <c r="G113" s="1888">
        <v>6</v>
      </c>
      <c r="H113" s="176"/>
      <c r="I113" s="34"/>
      <c r="J113" s="9" t="str">
        <f>IF(Kind6="","",VLOOKUP(Kind6,ForageGrowthCurves!$A$6:'ForageGrowthCurves'!$Q$29,17,FALSE))</f>
        <v/>
      </c>
      <c r="K113" s="9" t="str">
        <f>IF(I113="","",I113*J113)</f>
        <v/>
      </c>
      <c r="L113" s="1038" t="str">
        <f>IF(ISBLANK(Acres6)="",(VLOOKUP(ROUND(TotalAcreGrazed/Acres6,0),[0]!PastureEffTable,2,)),"")</f>
        <v/>
      </c>
      <c r="M113" s="12" t="str">
        <f>IF(I113="","",K113*L113/100)</f>
        <v/>
      </c>
      <c r="N113" s="12" t="str">
        <f>IF($H113="","",IF(HayMonth6=0,VLOOKUP($H113,FORAGE2,3)*($M113),IF(AND(HayMonth6&gt;0,HayMonth6&lt;1),VLOOKUP($H113,FORAGE2,3)*($M113),0)))</f>
        <v/>
      </c>
      <c r="O113" s="12" t="str">
        <f>IF($H113="","",IF(HayMonth6=0,VLOOKUP($H113,FORAGE2,4)*($M113),IF(AND(HayMonth6&gt;0,HayMonth6&lt;2),VLOOKUP($H113,FORAGE2,3)*($M113),0)))</f>
        <v/>
      </c>
      <c r="P113" s="12" t="str">
        <f>IF($H113="","",IF(HayMonth6=0,VLOOKUP($H113,FORAGE2,5)*($M113),IF(AND(HayMonth6&gt;0,HayMonth6&lt;3),VLOOKUP($H113,FORAGE2,5)*($M113),0)))</f>
        <v/>
      </c>
      <c r="Q113" s="12" t="str">
        <f>IF($H113="","",IF(HayMonth6=0,VLOOKUP($H113,FORAGE2,6)*($M113),IF(AND(HayMonth6&gt;0,HayMonth6&lt;4),VLOOKUP($H113,FORAGE2,6)*($M113),0)))</f>
        <v/>
      </c>
      <c r="R113" s="12" t="str">
        <f>IF($H113="","",IF(HayMonth6=0,VLOOKUP($H113,FORAGE2,7)*($M113),IF(AND(HayMonth6&gt;0,HayMonth6&lt;5),VLOOKUP($H113,FORAGE2,7)*($M113),0)))</f>
        <v/>
      </c>
      <c r="S113" s="12" t="str">
        <f>IF($H113="","",IF(HayMonth6=0,VLOOKUP($H113,FORAGE2,8)*($M113),IF(AND(HayMonth6&gt;0,HayMonth6&lt;6),VLOOKUP($H113,FORAGE2,8)*($M113),0)))</f>
        <v/>
      </c>
      <c r="T113" s="12" t="str">
        <f>IF($H113="","",IF(HayMonth6=0,VLOOKUP($H113,FORAGE2,9)*($M113),IF(AND(HayMonth6&gt;0,HayMonth6&lt;7),VLOOKUP($H113,FORAGE2,9)*($M113),0)))</f>
        <v/>
      </c>
      <c r="U113" s="12" t="str">
        <f>IF($H113="","",IF(HayMonth6=0,VLOOKUP($H113,FORAGE2,10)*($M113),IF(AND(HayMonth6&gt;0,HayMonth6&lt;8),VLOOKUP($H113,FORAGE2,10)*($M113),0)))</f>
        <v/>
      </c>
      <c r="V113" s="12" t="str">
        <f>IF($H113="","",IF(HayMonth6=0,VLOOKUP($H113,FORAGE2,11)*($M113),IF(AND(HayMonth6&gt;0,HayMonth6&lt;9),VLOOKUP($H113,FORAGE2,11)*($M113),0)))</f>
        <v/>
      </c>
      <c r="W113" s="12" t="str">
        <f>IF($H113="","",IF(HayMonth6=0,VLOOKUP($H113,FORAGE2,12)*($M113),IF(AND(HayMonth6&gt;0,HayMonth6&lt;10),VLOOKUP($H113,FORAGE2,12)*($M113),0)))</f>
        <v/>
      </c>
      <c r="X113" s="12" t="str">
        <f>IF($H113="","",IF(HayMonth6=0,VLOOKUP($H113,FORAGE2,13)*($M113),IF(AND(HayMonth6&gt;0,HayMonth6&lt;11),VLOOKUP($H113,FORAGE2,13)*($M113),0)))</f>
        <v/>
      </c>
      <c r="Y113" s="12" t="str">
        <f>IF($H113="","",IF(HayMonth6=0,VLOOKUP($H113,FORAGE2,14)*($M113),IF(AND(HayMonth6&gt;0,HayMonth6&lt;12),VLOOKUP($H113,FORAGE2,14)*($M113),0)))</f>
        <v/>
      </c>
      <c r="Z113" s="347"/>
      <c r="AM113" s="5"/>
      <c r="AR113" s="5"/>
      <c r="AV113" s="18"/>
    </row>
    <row r="114" spans="4:48" ht="15.75" customHeight="1">
      <c r="D114" s="23"/>
      <c r="E114" s="349"/>
      <c r="F114" s="139"/>
      <c r="G114" s="1889"/>
      <c r="H114" s="792"/>
      <c r="I114" s="851" t="str">
        <f>IF(HayMonth6&gt;0,"Hay cut in:","")</f>
        <v/>
      </c>
      <c r="J114" s="852" t="str">
        <f>IF(HayMonth6=0,"",IF(HayMonth6=1,"Jan",IF(HayMonth6=2,"Feb",IF(HayMonth6=3,"Mar",IF(HayMonth6=4,"Apr",IF(HayMonth6=5,"May",IF(HayMonth6=6,"Jun",IF(HayMonth6=7,"Jul",IF(HayMonth6=8,"Aug",IF(HayMonth6=9,"Sep",IF(HayMonth6=10,"Oct",IF(HayMonth6=11,"Nov","Dec"))))))))))))</f>
        <v/>
      </c>
      <c r="K114" s="99"/>
      <c r="L114" s="1009"/>
      <c r="M114" s="89"/>
      <c r="N114" s="89"/>
      <c r="O114" s="89"/>
      <c r="P114" s="89"/>
      <c r="Q114" s="87"/>
      <c r="R114" s="89"/>
      <c r="S114" s="89"/>
      <c r="T114" s="89"/>
      <c r="U114" s="89"/>
      <c r="V114" s="89"/>
      <c r="W114" s="89"/>
      <c r="X114" s="89"/>
      <c r="Y114" s="95"/>
      <c r="Z114" s="347"/>
      <c r="AR114" s="5"/>
      <c r="AV114" s="18"/>
    </row>
    <row r="115" spans="4:48" ht="16" customHeight="1">
      <c r="D115" s="23"/>
      <c r="E115" s="349"/>
      <c r="F115" s="139"/>
      <c r="G115" s="1888">
        <v>7</v>
      </c>
      <c r="H115" s="176"/>
      <c r="I115" s="34"/>
      <c r="J115" s="9" t="str">
        <f>IF(Kind7="","",VLOOKUP(Kind7,ForageGrowthCurves!$A$6:'ForageGrowthCurves'!$Q$29,17,FALSE))</f>
        <v/>
      </c>
      <c r="K115" s="9" t="str">
        <f>IF(I115="","",I115*J115)</f>
        <v/>
      </c>
      <c r="L115" s="1038" t="str">
        <f>IF(ISBLANK(Acres7)="",(VLOOKUP(ROUND(TotalAcreGrazed/Acres7,0),[0]!PastureEffTable,2,)),"")</f>
        <v/>
      </c>
      <c r="M115" s="12" t="str">
        <f>IF(I115="","",K115*L115/100)</f>
        <v/>
      </c>
      <c r="N115" s="12" t="str">
        <f>IF($H115="","",IF(HayMonth7=0,VLOOKUP($H115,FORAGE2,3)*($M115),IF(AND(HayMonth7&gt;0,HayMonth7&lt;1),VLOOKUP($H115,FORAGE2,3)*($M115),0)))</f>
        <v/>
      </c>
      <c r="O115" s="12" t="str">
        <f>IF($H115="","",IF(HayMonth7=0,VLOOKUP($H115,FORAGE2,4)*($M115),IF(AND(HayMonth7&gt;0,HayMonth7&lt;2),VLOOKUP($H115,FORAGE2,4)*($M115),0)))</f>
        <v/>
      </c>
      <c r="P115" s="12" t="str">
        <f>IF($H115="","",IF(HayMonth7=0,VLOOKUP($H115,FORAGE2,5)*($M115),IF(AND(HayMonth7&gt;0,HayMonth7&lt;3),VLOOKUP($H115,FORAGE2,5)*($M115),0)))</f>
        <v/>
      </c>
      <c r="Q115" s="12" t="str">
        <f>IF($H115="","",IF(HayMonth7=0,VLOOKUP($H115,FORAGE2,6)*($M115),IF(AND(HayMonth7&gt;0,HayMonth7&lt;4),VLOOKUP($H115,FORAGE2,6)*($M115),0)))</f>
        <v/>
      </c>
      <c r="R115" s="12" t="str">
        <f>IF($H115="","",IF(HayMonth7=0,VLOOKUP($H115,FORAGE2,7)*($M115),IF(AND(HayMonth7&gt;0,HayMonth7&lt;5),VLOOKUP($H115,FORAGE2,7)*($M115),0)))</f>
        <v/>
      </c>
      <c r="S115" s="12" t="str">
        <f>IF($H115="","",IF(HayMonth7=0,VLOOKUP($H115,FORAGE2,8)*($M115),IF(AND(HayMonth7&gt;0,HayMonth7&lt;6),VLOOKUP($H115,FORAGE2,8)*($M115),0)))</f>
        <v/>
      </c>
      <c r="T115" s="12" t="str">
        <f>IF($H115="","",IF(HayMonth7=0,VLOOKUP($H115,FORAGE2,9)*($M115),IF(AND(HayMonth7&gt;0,HayMonth7&lt;7),VLOOKUP($H115,FORAGE2,9)*($M115),0)))</f>
        <v/>
      </c>
      <c r="U115" s="12" t="str">
        <f>IF($H115="","",IF(HayMonth7=0,VLOOKUP($H115,FORAGE2,10)*($M115),IF(AND(HayMonth7&gt;0,HayMonth7&lt;8),VLOOKUP($H115,FORAGE2,10)*($M115),0)))</f>
        <v/>
      </c>
      <c r="V115" s="12" t="str">
        <f>IF($H115="","",IF(HayMonth7=0,VLOOKUP($H115,FORAGE2,11)*($M115),IF(AND(HayMonth7&gt;0,HayMonth7&lt;9),VLOOKUP($H115,FORAGE2,11)*($M115),0)))</f>
        <v/>
      </c>
      <c r="W115" s="12" t="str">
        <f>IF($H115="","",IF(HayMonth7=0,VLOOKUP($H115,FORAGE2,12)*($M115),IF(AND(HayMonth7&gt;0,HayMonth7&lt;10),VLOOKUP($H115,FORAGE2,12)*($M115),0)))</f>
        <v/>
      </c>
      <c r="X115" s="12" t="str">
        <f>IF($H115="","",IF(HayMonth7=0,VLOOKUP($H115,FORAGE2,13)*($M115),IF(AND(HayMonth7&gt;0,HayMonth7&lt;11),VLOOKUP($H115,FORAGE2,13)*($M115),0)))</f>
        <v/>
      </c>
      <c r="Y115" s="12" t="str">
        <f>IF($H115="","",IF(HayMonth7=0,VLOOKUP($H115,FORAGE2,14)*($M115),IF(AND(HayMonth7&gt;0,HayMonth7&lt;12),VLOOKUP($H115,FORAGE2,14)*($M115),0)))</f>
        <v/>
      </c>
      <c r="Z115" s="347"/>
      <c r="AQ115" s="18"/>
      <c r="AV115" s="18"/>
    </row>
    <row r="116" spans="4:48" ht="15.75" customHeight="1">
      <c r="E116" s="138"/>
      <c r="F116" s="139"/>
      <c r="G116" s="1889"/>
      <c r="H116" s="792"/>
      <c r="I116" s="851" t="str">
        <f>IF(HayMonth7&gt;0,"Hay cut in:","")</f>
        <v/>
      </c>
      <c r="J116" s="852" t="str">
        <f>IF(HayMonth7=0,"",IF(HayMonth7=1,"Jan",IF(HayMonth7=2,"Feb",IF(HayMonth7=3,"Mar",IF(HayMonth7=4,"Apr",IF(HayMonth7=5,"May",IF(HayMonth7=6,"Jun",IF(HayMonth7=7,"Jul",IF(HayMonth7=8,"Aug",IF(HayMonth7=9,"Sep",IF(HayMonth7=10,"Oct",IF(HayMonth7=11,"Nov","Dec"))))))))))))</f>
        <v/>
      </c>
      <c r="K116" s="99"/>
      <c r="L116" s="1009"/>
      <c r="M116" s="89"/>
      <c r="N116" s="89"/>
      <c r="O116" s="89"/>
      <c r="P116" s="89"/>
      <c r="Q116" s="87"/>
      <c r="R116" s="89"/>
      <c r="S116" s="89"/>
      <c r="T116" s="89"/>
      <c r="U116" s="89"/>
      <c r="V116" s="89"/>
      <c r="W116" s="89"/>
      <c r="X116" s="89"/>
      <c r="Y116" s="95"/>
      <c r="Z116" s="347"/>
      <c r="AQ116" s="18"/>
      <c r="AV116" s="18"/>
    </row>
    <row r="117" spans="4:48" ht="16" customHeight="1">
      <c r="E117" s="138"/>
      <c r="F117" s="139"/>
      <c r="G117" s="1888">
        <v>8</v>
      </c>
      <c r="H117" s="176"/>
      <c r="I117" s="34"/>
      <c r="J117" s="9" t="str">
        <f>IF(Kind8="","",VLOOKUP(Kind8,ForageGrowthCurves!$A$6:'ForageGrowthCurves'!$Q$29,17,FALSE))</f>
        <v/>
      </c>
      <c r="K117" s="9" t="str">
        <f>IF(I117="","",I117*J117)</f>
        <v/>
      </c>
      <c r="L117" s="1038" t="str">
        <f>IF(ISBLANK(Acres8)="",(VLOOKUP(ROUND(TotalAcreGrazed/Acres8,0),[0]!PastureEffTable,2,)),"")</f>
        <v/>
      </c>
      <c r="M117" s="12" t="str">
        <f>IF(I117="","",K117*L117/100)</f>
        <v/>
      </c>
      <c r="N117" s="12" t="str">
        <f>IF($H117="","",IF(HayMonth8=0,VLOOKUP($H117,FORAGE2,3)*($M117),IF(AND(HayMonth8&gt;0,HayMonth8&lt;1),VLOOKUP($H117,FORAGE2,3)*($M117),0)))</f>
        <v/>
      </c>
      <c r="O117" s="12" t="str">
        <f>IF($H117="","",IF(HayMonth8=0,VLOOKUP($H117,FORAGE2,4)*($M117),IF(AND(HayMonth8&gt;0,HayMonth8&lt;2),VLOOKUP($H117,FORAGE2,4)*($M117),0)))</f>
        <v/>
      </c>
      <c r="P117" s="12" t="str">
        <f>IF($H117="","",IF(HayMonth8=0,VLOOKUP($H117,FORAGE2,5)*($M117),IF(AND(HayMonth8&gt;0,HayMonth8&lt;3),VLOOKUP($H117,FORAGE2,5)*($M117),0)))</f>
        <v/>
      </c>
      <c r="Q117" s="12" t="str">
        <f>IF($H117="","",IF(HayMonth8=0,VLOOKUP($H117,FORAGE2,6)*($M117),IF(AND(HayMonth8&gt;0,HayMonth8&lt;4),VLOOKUP($H117,FORAGE2,6)*($M117),0)))</f>
        <v/>
      </c>
      <c r="R117" s="12" t="str">
        <f>IF($H117="","",IF(HayMonth8=0,VLOOKUP($H117,FORAGE2,7)*($M117),IF(AND(HayMonth8&gt;0,HayMonth8&lt;5),VLOOKUP($H117,FORAGE2,7)*($M117),0)))</f>
        <v/>
      </c>
      <c r="S117" s="12" t="str">
        <f>IF($H117="","",IF(HayMonth8=0,VLOOKUP($H117,FORAGE2,8)*($M117),IF(AND(HayMonth8&gt;0,HayMonth8&lt;6),VLOOKUP($H117,FORAGE2,8)*($M117),0)))</f>
        <v/>
      </c>
      <c r="T117" s="12" t="str">
        <f>IF($H117="","",IF(HayMonth8=0,VLOOKUP($H117,FORAGE2,9)*($M117),IF(AND(HayMonth8&gt;0,HayMonth8&lt;7),VLOOKUP($H117,FORAGE2,9)*($M117),0)))</f>
        <v/>
      </c>
      <c r="U117" s="12" t="str">
        <f>IF($H117="","",IF(HayMonth8=0,VLOOKUP($H117,FORAGE2,10)*($M117),IF(AND(HayMonth8&gt;0,HayMonth8&lt;8),VLOOKUP($H117,FORAGE2,10)*($M117),0)))</f>
        <v/>
      </c>
      <c r="V117" s="12" t="str">
        <f>IF($H117="","",IF(HayMonth8=0,VLOOKUP($H117,FORAGE2,11)*($M117),IF(AND(HayMonth8&gt;0,HayMonth8&lt;9),VLOOKUP($H117,FORAGE2,11)*($M117),0)))</f>
        <v/>
      </c>
      <c r="W117" s="12" t="str">
        <f>IF($H117="","",IF(HayMonth8=0,VLOOKUP($H117,FORAGE2,12)*($M117),IF(AND(HayMonth8&gt;0,HayMonth8&lt;10),VLOOKUP($H117,FORAGE2,12)*($M117),0)))</f>
        <v/>
      </c>
      <c r="X117" s="12" t="str">
        <f>IF($H117="","",IF(HayMonth8=0,VLOOKUP($H117,FORAGE2,13)*($M117),IF(AND(HayMonth8&gt;0,HayMonth8&lt;11),VLOOKUP($H117,FORAGE2,13)*($M117),0)))</f>
        <v/>
      </c>
      <c r="Y117" s="12" t="str">
        <f>IF($H117="","",IF(HayMonth8=0,VLOOKUP($H117,FORAGE2,14)*($M117),IF(AND(HayMonth8&gt;0,HayMonth8&lt;12),VLOOKUP($H117,FORAGE2,14)*($M117),0)))</f>
        <v/>
      </c>
      <c r="Z117" s="347"/>
      <c r="AQ117" s="18"/>
      <c r="AV117" s="18"/>
    </row>
    <row r="118" spans="4:48" ht="15.75" customHeight="1">
      <c r="E118" s="138"/>
      <c r="F118" s="139"/>
      <c r="G118" s="1889"/>
      <c r="H118" s="792"/>
      <c r="I118" s="851" t="str">
        <f>IF(HayMonth8&gt;0,"Hay cut in:","")</f>
        <v/>
      </c>
      <c r="J118" s="852" t="str">
        <f>IF(HayMonth8=0,"",IF(HayMonth8=1,"Jan",IF(HayMonth8=2,"Feb",IF(HayMonth8=3,"Mar",IF(HayMonth8=4,"Apr",IF(HayMonth8=5,"May",IF(HayMonth8=6,"Jun",IF(HayMonth8=7,"Jul",IF(HayMonth8=8,"Aug",IF(HayMonth8=9,"Sep",IF(HayMonth8=10,"Oct",IF(HayMonth8=11,"Nov","Dec"))))))))))))</f>
        <v/>
      </c>
      <c r="K118" s="99"/>
      <c r="L118" s="1009"/>
      <c r="M118" s="89"/>
      <c r="N118" s="89"/>
      <c r="O118" s="89"/>
      <c r="P118" s="89"/>
      <c r="Q118" s="87"/>
      <c r="R118" s="89"/>
      <c r="S118" s="89"/>
      <c r="T118" s="89"/>
      <c r="U118" s="89"/>
      <c r="V118" s="89"/>
      <c r="W118" s="89"/>
      <c r="X118" s="89"/>
      <c r="Y118" s="95"/>
      <c r="Z118" s="347"/>
      <c r="AQ118" s="18"/>
      <c r="AV118" s="18"/>
    </row>
    <row r="119" spans="4:48" ht="16" customHeight="1">
      <c r="E119" s="138"/>
      <c r="F119" s="139"/>
      <c r="G119" s="1888">
        <v>9</v>
      </c>
      <c r="H119" s="176"/>
      <c r="I119" s="34"/>
      <c r="J119" s="9" t="str">
        <f>IF(Kind9="","",VLOOKUP(Kind9,ForageGrowthCurves!$A$6:'ForageGrowthCurves'!$Q$29,17,FALSE))</f>
        <v/>
      </c>
      <c r="K119" s="9" t="str">
        <f>IF(I119="","",I119*J119)</f>
        <v/>
      </c>
      <c r="L119" s="1038" t="str">
        <f>IF(ISBLANK(Acres9)="",(VLOOKUP(ROUND(TotalAcreGrazed/Acres9,0),[0]!PastureEffTable,2,)),"")</f>
        <v/>
      </c>
      <c r="M119" s="12" t="str">
        <f>IF(I119="","",K119*L119/100)</f>
        <v/>
      </c>
      <c r="N119" s="12" t="str">
        <f>IF($H119="","",IF(HayMonth9=0,VLOOKUP($H119,FORAGE2,3)*($M119),IF(AND(HayMonth9&gt;0,HayMonth9&lt;1),VLOOKUP($H119,FORAGE2,3)*($M119),0)))</f>
        <v/>
      </c>
      <c r="O119" s="12" t="str">
        <f>IF($H119="","",IF(HayMonth9=0,VLOOKUP($H119,FORAGE2,4)*($M119),IF(AND(HayMonth9&gt;0,HayMonth9&lt;2),VLOOKUP($H119,FORAGE2,4)*($M119),0)))</f>
        <v/>
      </c>
      <c r="P119" s="12" t="str">
        <f>IF($H119="","",IF(HayMonth9=0,VLOOKUP($H119,FORAGE2,5)*($M119),IF(AND(HayMonth9&gt;0,HayMonth9&lt;3),VLOOKUP($H119,FORAGE2,5)*($M119),0)))</f>
        <v/>
      </c>
      <c r="Q119" s="12" t="str">
        <f>IF($H119="","",IF(HayMonth9=0,VLOOKUP($H119,FORAGE2,6)*($M119),IF(AND(HayMonth9&gt;0,HayMonth9&lt;4),VLOOKUP($H119,FORAGE2,6)*($M119),0)))</f>
        <v/>
      </c>
      <c r="R119" s="12" t="str">
        <f>IF($H119="","",IF(HayMonth9=0,VLOOKUP($H119,FORAGE2,7)*($M119),IF(AND(HayMonth9&gt;0,HayMonth9&lt;5),VLOOKUP($H119,FORAGE2,7)*($M119),0)))</f>
        <v/>
      </c>
      <c r="S119" s="12" t="str">
        <f>IF($H119="","",IF(HayMonth9=0,VLOOKUP($H119,FORAGE2,8)*($M119),IF(AND(HayMonth9&gt;0,HayMonth9&lt;6),VLOOKUP($H119,FORAGE2,8)*($M119),0)))</f>
        <v/>
      </c>
      <c r="T119" s="12" t="str">
        <f>IF($H119="","",IF(HayMonth9=0,VLOOKUP($H119,FORAGE2,9)*($M119),IF(AND(HayMonth9&gt;0,HayMonth9&lt;7),VLOOKUP($H119,FORAGE2,9)*($M119),0)))</f>
        <v/>
      </c>
      <c r="U119" s="12" t="str">
        <f>IF($H119="","",IF(HayMonth9=0,VLOOKUP($H119,FORAGE2,10)*($M119),IF(AND(HayMonth9&gt;0,HayMonth9&lt;8),VLOOKUP($H119,FORAGE2,10)*($M119),0)))</f>
        <v/>
      </c>
      <c r="V119" s="12" t="str">
        <f>IF($H119="","",IF(HayMonth9=0,VLOOKUP($H119,FORAGE2,11)*($M119),IF(AND(HayMonth9&gt;0,HayMonth9&lt;9),VLOOKUP($H119,FORAGE2,11)*($M119),0)))</f>
        <v/>
      </c>
      <c r="W119" s="12" t="str">
        <f>IF($H119="","",IF(HayMonth9=0,VLOOKUP($H119,FORAGE2,12)*($M119),IF(AND(HayMonth9&gt;0,HayMonth9&lt;10),VLOOKUP($H119,FORAGE2,12)*($M119),0)))</f>
        <v/>
      </c>
      <c r="X119" s="12" t="str">
        <f>IF($H119="","",IF(HayMonth9=0,VLOOKUP($H119,FORAGE2,13)*($M119),IF(AND(HayMonth9&gt;0,HayMonth9&lt;11),VLOOKUP($H119,FORAGE2,13)*($M119),0)))</f>
        <v/>
      </c>
      <c r="Y119" s="12" t="str">
        <f>IF($H119="","",IF(HayMonth9=0,VLOOKUP($H119,FORAGE2,14)*($M119),IF(AND(HayMonth9&gt;0,HayMonth9&lt;12),VLOOKUP($H119,FORAGE2,14)*($M119),0)))</f>
        <v/>
      </c>
      <c r="Z119" s="347"/>
    </row>
    <row r="120" spans="4:48" ht="15.75" customHeight="1">
      <c r="E120" s="138"/>
      <c r="F120" s="139"/>
      <c r="G120" s="1889"/>
      <c r="H120" s="792"/>
      <c r="I120" s="851" t="str">
        <f>IF(HayMonth9&gt;0,"Hay cut in:","")</f>
        <v/>
      </c>
      <c r="J120" s="852" t="str">
        <f>IF(HayMonth9=0,"",IF(HayMonth9=1,"Jan",IF(HayMonth9=2,"Feb",IF(HayMonth9=3,"Mar",IF(HayMonth9=4,"Apr",IF(HayMonth9=5,"May",IF(HayMonth9=6,"Jun",IF(HayMonth9=7,"Jul",IF(HayMonth9=8,"Aug",IF(HayMonth9=9,"Sep",IF(HayMonth9=10,"Oct",IF(HayMonth9=11,"Nov","Dec"))))))))))))</f>
        <v/>
      </c>
      <c r="K120" s="99"/>
      <c r="L120" s="1009"/>
      <c r="M120" s="89"/>
      <c r="N120" s="89"/>
      <c r="O120" s="89"/>
      <c r="P120" s="89"/>
      <c r="Q120" s="87"/>
      <c r="R120" s="89"/>
      <c r="S120" s="89"/>
      <c r="T120" s="89"/>
      <c r="U120" s="89"/>
      <c r="V120" s="89"/>
      <c r="W120" s="89"/>
      <c r="X120" s="89"/>
      <c r="Y120" s="95"/>
      <c r="Z120" s="347"/>
    </row>
    <row r="121" spans="4:48" ht="16" customHeight="1">
      <c r="E121" s="138"/>
      <c r="F121" s="139"/>
      <c r="G121" s="1888">
        <v>10</v>
      </c>
      <c r="H121" s="176"/>
      <c r="I121" s="34"/>
      <c r="J121" s="9" t="str">
        <f>IF(Kind10="","",VLOOKUP(Kind10,ForageGrowthCurves!$A$6:'ForageGrowthCurves'!$Q$29,17,FALSE))</f>
        <v/>
      </c>
      <c r="K121" s="9" t="str">
        <f>IF(I121="","",I121*J121)</f>
        <v/>
      </c>
      <c r="L121" s="1038" t="str">
        <f>IF(ISBLANK(Acres10)="",(VLOOKUP(ROUND(TotalAcreGrazed/Acres10,0),[0]!PastureEffTable,2,)),"")</f>
        <v/>
      </c>
      <c r="M121" s="12" t="str">
        <f>IF(I121="","",K121*L121/100)</f>
        <v/>
      </c>
      <c r="N121" s="12" t="str">
        <f>IF($H121="","",IF(HayMonth10=0,VLOOKUP($H121,FORAGE2,3)*($M121),IF(AND(HayMonth10&gt;0,HayMonth10&lt;1),VLOOKUP($H121,FORAGE2,3)*($M121),0)))</f>
        <v/>
      </c>
      <c r="O121" s="12" t="str">
        <f>IF($H121="","",IF(HayMonth10=0,VLOOKUP($H121,FORAGE2,4)*($M121),IF(AND(HayMonth10&gt;0,HayMonth10&lt;2),VLOOKUP($H121,FORAGE2,4)*($M121),0)))</f>
        <v/>
      </c>
      <c r="P121" s="12" t="str">
        <f>IF($H121="","",IF(HayMonth10=0,VLOOKUP($H121,FORAGE2,5)*($M121),IF(AND(HayMonth10&gt;0,HayMonth10&lt;3),VLOOKUP($H121,FORAGE2,5)*($M121),0)))</f>
        <v/>
      </c>
      <c r="Q121" s="12" t="str">
        <f>IF($H121="","",IF(HayMonth10=0,VLOOKUP($H121,FORAGE2,6)*($M121),IF(AND(HayMonth10&gt;0,HayMonth10&lt;4),VLOOKUP($H121,FORAGE2,6)*($M121),0)))</f>
        <v/>
      </c>
      <c r="R121" s="12" t="str">
        <f>IF($H121="","",IF(HayMonth10=0,VLOOKUP($H121,FORAGE2,7)*($M121),IF(AND(HayMonth10&gt;0,HayMonth10&lt;5),VLOOKUP($H121,FORAGE2,7)*($M121),0)))</f>
        <v/>
      </c>
      <c r="S121" s="12" t="str">
        <f>IF($H121="","",IF(HayMonth10=0,VLOOKUP($H121,FORAGE2,8)*($M121),IF(AND(HayMonth10&gt;0,HayMonth10&lt;6),VLOOKUP($H121,FORAGE2,8)*($M121),0)))</f>
        <v/>
      </c>
      <c r="T121" s="12" t="str">
        <f>IF($H121="","",IF(HayMonth10=0,VLOOKUP($H121,FORAGE2,9)*($M121),IF(AND(HayMonth10&gt;0,HayMonth10&lt;7),VLOOKUP($H121,FORAGE2,9)*($M121),0)))</f>
        <v/>
      </c>
      <c r="U121" s="12" t="str">
        <f>IF($H121="","",IF(HayMonth10=0,VLOOKUP($H121,FORAGE2,10)*($M121),IF(AND(HayMonth10&gt;0,HayMonth10&lt;8),VLOOKUP($H121,FORAGE2,10)*($M121),0)))</f>
        <v/>
      </c>
      <c r="V121" s="12" t="str">
        <f>IF($H121="","",IF(HayMonth10=0,VLOOKUP($H121,FORAGE2,11)*($M121),IF(AND(HayMonth10&gt;0,HayMonth10&lt;9),VLOOKUP($H121,FORAGE2,11)*($M121),0)))</f>
        <v/>
      </c>
      <c r="W121" s="12" t="str">
        <f>IF($H121="","",IF(HayMonth10=0,VLOOKUP($H121,FORAGE2,12)*($M121),IF(AND(HayMonth10&gt;0,HayMonth10&lt;10),VLOOKUP($H121,FORAGE2,12)*($M121),0)))</f>
        <v/>
      </c>
      <c r="X121" s="12" t="str">
        <f>IF($H121="","",IF(HayMonth10=0,VLOOKUP($H121,FORAGE2,13)*($M121),IF(AND(HayMonth10&gt;0,HayMonth10&lt;11),VLOOKUP($H121,FORAGE2,13)*($M121),0)))</f>
        <v/>
      </c>
      <c r="Y121" s="12" t="str">
        <f>IF($H121="","",IF(HayMonth10=0,VLOOKUP($H121,FORAGE2,14)*($M121),IF(AND(HayMonth10&gt;0,HayMonth10&lt;12),VLOOKUP($H121,FORAGE2,14)*($M121),0)))</f>
        <v/>
      </c>
      <c r="Z121" s="347"/>
      <c r="AQ121" s="18"/>
    </row>
    <row r="122" spans="4:48" ht="15.75" customHeight="1">
      <c r="E122" s="138"/>
      <c r="F122" s="139"/>
      <c r="G122" s="1889"/>
      <c r="H122" s="792"/>
      <c r="I122" s="851" t="str">
        <f>IF(HayMonth10&gt;0,"Hay cut in:","")</f>
        <v/>
      </c>
      <c r="J122" s="852" t="str">
        <f>IF(HayMonth10=0,"",IF(HayMonth10=1,"Jan",IF(HayMonth10=2,"Feb",IF(HayMonth10=3,"Mar",IF(HayMonth10=4,"Apr",IF(HayMonth10=5,"May",IF(HayMonth10=6,"Jun",IF(HayMonth10=7,"Jul",IF(HayMonth10=8,"Aug",IF(HayMonth10=9,"Sep",IF(HayMonth10=10,"Oct",IF(HayMonth10=11,"Nov","Dec"))))))))))))</f>
        <v/>
      </c>
      <c r="K122" s="99"/>
      <c r="L122" s="1009"/>
      <c r="M122" s="89"/>
      <c r="N122" s="89"/>
      <c r="O122" s="89"/>
      <c r="P122" s="89"/>
      <c r="Q122" s="87"/>
      <c r="R122" s="89"/>
      <c r="S122" s="89"/>
      <c r="T122" s="89"/>
      <c r="U122" s="89"/>
      <c r="V122" s="89"/>
      <c r="W122" s="89"/>
      <c r="X122" s="89"/>
      <c r="Y122" s="95"/>
      <c r="Z122" s="347"/>
      <c r="AQ122" s="18"/>
    </row>
    <row r="123" spans="4:48" ht="16" customHeight="1">
      <c r="E123" s="138"/>
      <c r="F123" s="139"/>
      <c r="G123" s="1888">
        <v>11</v>
      </c>
      <c r="H123" s="176"/>
      <c r="I123" s="34"/>
      <c r="J123" s="9" t="str">
        <f>IF(Kind11="","",VLOOKUP(Kind11,ForageGrowthCurves!$A$6:'ForageGrowthCurves'!$Q$29,17,FALSE))</f>
        <v/>
      </c>
      <c r="K123" s="9" t="str">
        <f>IF(I123="","",I123*J123)</f>
        <v/>
      </c>
      <c r="L123" s="1038" t="str">
        <f>IF(ISBLANK(Acres11)="",(VLOOKUP(ROUND(TotalAcreGrazed/Acres11,0),[0]!PastureEffTable,2,)),"")</f>
        <v/>
      </c>
      <c r="M123" s="12" t="str">
        <f>IF(I123="","",K123*L123/100)</f>
        <v/>
      </c>
      <c r="N123" s="12" t="str">
        <f>IF($H123="","",IF(HayMonth11=0,VLOOKUP($H123,FORAGE2,3)*($M123),IF(AND(HayMonth11&gt;0,HayMonth11&lt;1),VLOOKUP($H123,FORAGE2,3)*($M123),0)))</f>
        <v/>
      </c>
      <c r="O123" s="12" t="str">
        <f>IF($H123="","",IF(HayMonth11=0,VLOOKUP($H123,FORAGE2,4)*($M123),IF(AND(HayMonth11&gt;0,HayMonth11&lt;2),VLOOKUP($H123,FORAGE2,4)*($M123),0)))</f>
        <v/>
      </c>
      <c r="P123" s="12" t="str">
        <f>IF($H123="","",IF(HayMonth11=0,VLOOKUP($H123,FORAGE2,5)*($M123),IF(AND(HayMonth11&gt;0,HayMonth11&lt;3),VLOOKUP($H123,FORAGE2,5)*($M123),0)))</f>
        <v/>
      </c>
      <c r="Q123" s="12" t="str">
        <f>IF($H123="","",IF(HayMonth11=0,VLOOKUP($H123,FORAGE2,6)*($M123),IF(AND(HayMonth11&gt;0,HayMonth11&lt;4),VLOOKUP($H123,FORAGE2,6)*($M123),0)))</f>
        <v/>
      </c>
      <c r="R123" s="12" t="str">
        <f>IF($H123="","",IF(HayMonth11=0,VLOOKUP($H123,FORAGE2,7)*($M123),IF(AND(HayMonth11&gt;0,HayMonth11&lt;5),VLOOKUP($H123,FORAGE2,7)*($M123),0)))</f>
        <v/>
      </c>
      <c r="S123" s="12" t="str">
        <f>IF($H123="","",IF(HayMonth11=0,VLOOKUP($H123,FORAGE2,8)*($M123),IF(AND(HayMonth11&gt;0,HayMonth11&lt;6),VLOOKUP($H123,FORAGE2,8)*($M123),0)))</f>
        <v/>
      </c>
      <c r="T123" s="12" t="str">
        <f>IF($H123="","",IF(HayMonth11=0,VLOOKUP($H123,FORAGE2,9)*($M123),IF(AND(HayMonth11&gt;0,HayMonth11&lt;7),VLOOKUP($H123,FORAGE2,9)*($M123),0)))</f>
        <v/>
      </c>
      <c r="U123" s="12" t="str">
        <f>IF($H123="","",IF(HayMonth11=0,VLOOKUP($H123,FORAGE2,10)*($M123),IF(AND(HayMonth11&gt;0,HayMonth11&lt;8),VLOOKUP($H123,FORAGE2,10)*($M123),0)))</f>
        <v/>
      </c>
      <c r="V123" s="12" t="str">
        <f>IF($H123="","",IF(HayMonth11=0,VLOOKUP($H123,FORAGE2,11)*($M123),IF(AND(HayMonth11&gt;0,HayMonth11&lt;9),VLOOKUP($H123,FORAGE2,11)*($M123),0)))</f>
        <v/>
      </c>
      <c r="W123" s="12" t="str">
        <f>IF($H123="","",IF(HayMonth11=0,VLOOKUP($H123,FORAGE2,12)*($M123),IF(AND(HayMonth11&gt;0,HayMonth11&lt;10),VLOOKUP($H123,FORAGE2,12)*($M123),0)))</f>
        <v/>
      </c>
      <c r="X123" s="12" t="str">
        <f>IF($H123="","",IF(HayMonth11=0,VLOOKUP($H123,FORAGE2,13)*($M123),IF(AND(HayMonth11&gt;0,HayMonth11&lt;11),VLOOKUP($H123,FORAGE2,13)*($M123),0)))</f>
        <v/>
      </c>
      <c r="Y123" s="12" t="str">
        <f>IF($H123="","",IF(HayMonth11=0,VLOOKUP($H123,FORAGE2,14)*($M123),IF(AND(HayMonth11&gt;0,HayMonth11&lt;12),VLOOKUP($H123,FORAGE2,14)*($M123),0)))</f>
        <v/>
      </c>
      <c r="Z123" s="347"/>
      <c r="AQ123" s="18"/>
    </row>
    <row r="124" spans="4:48" ht="15.75" customHeight="1">
      <c r="E124" s="138"/>
      <c r="F124" s="139"/>
      <c r="G124" s="1889"/>
      <c r="H124" s="792"/>
      <c r="I124" s="851" t="str">
        <f>IF(HayMonth11&gt;0,"Hay cut in:","")</f>
        <v/>
      </c>
      <c r="J124" s="852" t="str">
        <f>IF(HayMonth11=0,"",IF(HayMonth11=1,"Jan",IF(HayMonth11=2,"Feb",IF(HayMonth11=3,"Mar",IF(HayMonth11=4,"Apr",IF(HayMonth11=5,"May",IF(HayMonth11=6,"Jun",IF(HayMonth11=7,"Jul",IF(HayMonth11=8,"Aug",IF(HayMonth11=9,"Sep",IF(HayMonth11=10,"Oct",IF(HayMonth11=11,"Nov","Dec"))))))))))))</f>
        <v/>
      </c>
      <c r="K124" s="99"/>
      <c r="L124" s="1009"/>
      <c r="M124" s="89"/>
      <c r="N124" s="89"/>
      <c r="O124" s="89"/>
      <c r="P124" s="89"/>
      <c r="Q124" s="87"/>
      <c r="R124" s="89"/>
      <c r="S124" s="89"/>
      <c r="T124" s="89"/>
      <c r="U124" s="89"/>
      <c r="V124" s="89"/>
      <c r="W124" s="89"/>
      <c r="X124" s="89"/>
      <c r="Y124" s="95"/>
      <c r="Z124" s="347"/>
      <c r="AQ124" s="18"/>
    </row>
    <row r="125" spans="4:48" ht="16" customHeight="1">
      <c r="E125" s="138"/>
      <c r="F125" s="139"/>
      <c r="G125" s="1888">
        <v>12</v>
      </c>
      <c r="H125" s="176"/>
      <c r="I125" s="34"/>
      <c r="J125" s="9" t="str">
        <f>IF(Kind12="","",VLOOKUP(Kind12,ForageGrowthCurves!$A$6:'ForageGrowthCurves'!$Q$29,17,FALSE))</f>
        <v/>
      </c>
      <c r="K125" s="9" t="str">
        <f>IF(I125="","",I125*J125)</f>
        <v/>
      </c>
      <c r="L125" s="1038" t="str">
        <f>IF(ISBLANK(Acres12)="",(VLOOKUP(ROUND(TotalAcreGrazed/Acres12,0),[0]!PastureEffTable,2,)),"")</f>
        <v/>
      </c>
      <c r="M125" s="12" t="str">
        <f>IF(I125="","",K125*L125/100)</f>
        <v/>
      </c>
      <c r="N125" s="12" t="str">
        <f>IF($H125="","",IF(HayMonth12=0,VLOOKUP($H125,FORAGE2,3)*($M125),IF(AND(HayMonth12&gt;0,HayMonth12&lt;1),VLOOKUP($H125,FORAGE2,3)*($M125),0)))</f>
        <v/>
      </c>
      <c r="O125" s="12" t="str">
        <f>IF($H125="","",IF(HayMonth12=0,VLOOKUP($H125,FORAGE2,4)*($M125),IF(AND(HayMonth12&gt;0,HayMonth12&lt;2),VLOOKUP($H125,FORAGE2,4)*($M125),0)))</f>
        <v/>
      </c>
      <c r="P125" s="12" t="str">
        <f>IF($H125="","",IF(HayMonth12=0,VLOOKUP($H125,FORAGE2,5)*($M125),IF(AND(HayMonth12&gt;0,HayMonth12&lt;3),VLOOKUP($H125,FORAGE2,5)*($M125),0)))</f>
        <v/>
      </c>
      <c r="Q125" s="12" t="str">
        <f>IF($H125="","",IF(HayMonth12=0,VLOOKUP($H125,FORAGE2,6)*($M125),IF(AND(HayMonth12&gt;0,HayMonth12&lt;4),VLOOKUP($H125,FORAGE2,6)*($M125),0)))</f>
        <v/>
      </c>
      <c r="R125" s="12" t="str">
        <f>IF($H125="","",IF(HayMonth12=0,VLOOKUP($H125,FORAGE2,7)*($M125),IF(AND(HayMonth12&gt;0,HayMonth12&lt;5),VLOOKUP($H125,FORAGE2,7)*($M125),0)))</f>
        <v/>
      </c>
      <c r="S125" s="12" t="str">
        <f>IF($H125="","",IF(HayMonth12=0,VLOOKUP($H125,FORAGE2,8)*($M125),IF(AND(HayMonth12&gt;0,HayMonth12&lt;6),VLOOKUP($H125,FORAGE2,8)*($M125),0)))</f>
        <v/>
      </c>
      <c r="T125" s="12" t="str">
        <f>IF($H125="","",IF(HayMonth12=0,VLOOKUP($H125,FORAGE2,9)*($M125),IF(AND(HayMonth12&gt;0,HayMonth12&lt;7),VLOOKUP($H125,FORAGE2,9)*($M125),0)))</f>
        <v/>
      </c>
      <c r="U125" s="12" t="str">
        <f>IF($H125="","",IF(HayMonth12=0,VLOOKUP($H125,FORAGE2,10)*($M125),IF(AND(HayMonth12&gt;0,HayMonth12&lt;8),VLOOKUP($H125,FORAGE2,10)*($M125),0)))</f>
        <v/>
      </c>
      <c r="V125" s="12" t="str">
        <f>IF($H125="","",IF(HayMonth12=0,VLOOKUP($H125,FORAGE2,11)*($M125),IF(AND(HayMonth12&gt;0,HayMonth12&lt;9),VLOOKUP($H125,FORAGE2,11)*($M125),0)))</f>
        <v/>
      </c>
      <c r="W125" s="12" t="str">
        <f>IF($H125="","",IF(HayMonth12=0,VLOOKUP($H125,FORAGE2,12)*($M125),IF(AND(HayMonth12&gt;0,HayMonth12&lt;10),VLOOKUP($H125,FORAGE2,12)*($M125),0)))</f>
        <v/>
      </c>
      <c r="X125" s="12" t="str">
        <f>IF($H125="","",IF(HayMonth12=0,VLOOKUP($H125,FORAGE2,13)*($M125),IF(AND(HayMonth12&gt;0,HayMonth12&lt;11),VLOOKUP($H125,FORAGE2,13)*($M125),0)))</f>
        <v/>
      </c>
      <c r="Y125" s="12" t="str">
        <f>IF($H125="","",IF(HayMonth12=0,VLOOKUP($H125,FORAGE2,14)*($M125),IF(AND(HayMonth12&gt;0,HayMonth12&lt;12),VLOOKUP($H125,FORAGE2,14)*($M125),0)))</f>
        <v/>
      </c>
      <c r="Z125" s="347"/>
      <c r="AQ125" s="18"/>
    </row>
    <row r="126" spans="4:48" ht="15.75" customHeight="1">
      <c r="E126" s="138"/>
      <c r="F126" s="139"/>
      <c r="G126" s="1889"/>
      <c r="H126" s="792"/>
      <c r="I126" s="851" t="str">
        <f>IF(HayMonth12&gt;0,"Hay cut in:","")</f>
        <v/>
      </c>
      <c r="J126" s="852" t="str">
        <f>IF(HayMonth12=0,"",IF(HayMonth12=1,"Jan",IF(HayMonth12=2,"Feb",IF(HayMonth12=3,"Mar",IF(HayMonth12=4,"Apr",IF(HayMonth12=5,"May",IF(HayMonth12=6,"Jun",IF(HayMonth12=7,"Jul",IF(HayMonth12=8,"Aug",IF(HayMonth12=9,"Sep",IF(HayMonth12=10,"Oct",IF(HayMonth12=11,"Nov","Dec"))))))))))))</f>
        <v/>
      </c>
      <c r="K126" s="99"/>
      <c r="L126" s="1009"/>
      <c r="M126" s="89"/>
      <c r="N126" s="89"/>
      <c r="O126" s="89"/>
      <c r="P126" s="89"/>
      <c r="Q126" s="87"/>
      <c r="R126" s="89"/>
      <c r="S126" s="89"/>
      <c r="T126" s="89"/>
      <c r="U126" s="89"/>
      <c r="V126" s="89"/>
      <c r="W126" s="89"/>
      <c r="X126" s="89"/>
      <c r="Y126" s="95"/>
      <c r="Z126" s="347"/>
      <c r="AQ126" s="18"/>
    </row>
    <row r="127" spans="4:48" ht="16" customHeight="1">
      <c r="E127" s="138"/>
      <c r="F127" s="139"/>
      <c r="G127" s="1888">
        <v>13</v>
      </c>
      <c r="H127" s="176"/>
      <c r="I127" s="34"/>
      <c r="J127" s="9" t="str">
        <f>IF(Kind13="","",VLOOKUP(Kind13,ForageGrowthCurves!$A$6:'ForageGrowthCurves'!$Q$29,17,FALSE))</f>
        <v/>
      </c>
      <c r="K127" s="9" t="str">
        <f>IF(I127="","",I127*J127)</f>
        <v/>
      </c>
      <c r="L127" s="1038" t="str">
        <f>IF(ISBLANK(Acres13)="",(VLOOKUP(ROUND(TotalAcreGrazed/Acres13,0),[0]!PastureEffTable,2,)),"")</f>
        <v/>
      </c>
      <c r="M127" s="12" t="str">
        <f>IF(I127="","",K127*L127/100)</f>
        <v/>
      </c>
      <c r="N127" s="12" t="str">
        <f>IF($H127="","",IF(HayMonth13=0,VLOOKUP($H127,FORAGE2,3)*($M127),IF(AND(HayMonth13&gt;0,HayMonth13&lt;1),VLOOKUP($H127,FORAGE2,3)*($M127),0)))</f>
        <v/>
      </c>
      <c r="O127" s="12" t="str">
        <f>IF($H127="","",IF(HayMonth13=0,VLOOKUP($H127,FORAGE2,4)*($M127),IF(AND(HayMonth13&gt;0,HayMonth13&lt;2),VLOOKUP($H127,FORAGE2,4)*($M127),0)))</f>
        <v/>
      </c>
      <c r="P127" s="12" t="str">
        <f>IF($H127="","",IF(HayMonth13=0,VLOOKUP($H127,FORAGE2,5)*($M127),IF(AND(HayMonth13&gt;0,HayMonth13&lt;3),VLOOKUP($H127,FORAGE2,5)*($M127),0)))</f>
        <v/>
      </c>
      <c r="Q127" s="12" t="str">
        <f>IF($H127="","",IF(HayMonth13=0,VLOOKUP($H127,FORAGE2,6)*($M127),IF(AND(HayMonth13&gt;0,HayMonth13&lt;4),VLOOKUP($H127,FORAGE2,6)*($M127),0)))</f>
        <v/>
      </c>
      <c r="R127" s="12" t="str">
        <f>IF($H127="","",IF(HayMonth13=0,VLOOKUP($H127,FORAGE2,7)*($M127),IF(AND(HayMonth13&gt;0,HayMonth13&lt;5),VLOOKUP($H127,FORAGE2,7)*($M127),0)))</f>
        <v/>
      </c>
      <c r="S127" s="12" t="str">
        <f>IF($H127="","",IF(HayMonth13=0,VLOOKUP($H127,FORAGE2,8)*($M127),IF(AND(HayMonth13&gt;0,HayMonth13&lt;6),VLOOKUP($H127,FORAGE2,8)*($M127),0)))</f>
        <v/>
      </c>
      <c r="T127" s="12" t="str">
        <f>IF($H127="","",IF(HayMonth13=0,VLOOKUP($H127,FORAGE2,9)*($M127),IF(AND(HayMonth13&gt;0,HayMonth13&lt;7),VLOOKUP($H127,FORAGE2,9)*($M127),0)))</f>
        <v/>
      </c>
      <c r="U127" s="12" t="str">
        <f>IF($H127="","",IF(HayMonth13=0,VLOOKUP($H127,FORAGE2,10)*($M127),IF(AND(HayMonth13&gt;0,HayMonth13&lt;8),VLOOKUP($H127,FORAGE2,10)*($M127),0)))</f>
        <v/>
      </c>
      <c r="V127" s="12" t="str">
        <f>IF($H127="","",IF(HayMonth13=0,VLOOKUP($H127,FORAGE2,11)*($M127),IF(AND(HayMonth13&gt;0,HayMonth13&lt;9),VLOOKUP($H127,FORAGE2,11)*($M127),0)))</f>
        <v/>
      </c>
      <c r="W127" s="12" t="str">
        <f>IF($H127="","",IF(HayMonth13=0,VLOOKUP($H127,FORAGE2,12)*($M127),IF(AND(HayMonth13&gt;0,HayMonth13&lt;10),VLOOKUP($H127,FORAGE2,12)*($M127),0)))</f>
        <v/>
      </c>
      <c r="X127" s="12" t="str">
        <f>IF($H127="","",IF(HayMonth13=0,VLOOKUP($H127,FORAGE2,13)*($M127),IF(AND(HayMonth13&gt;0,HayMonth13&lt;11),VLOOKUP($H127,FORAGE2,13)*($M127),0)))</f>
        <v/>
      </c>
      <c r="Y127" s="12" t="str">
        <f>IF($H127="","",IF(HayMonth13=0,VLOOKUP($H127,FORAGE2,14)*($M127),IF(AND(HayMonth13&gt;0,HayMonth13&lt;12),VLOOKUP($H127,FORAGE2,14)*($M127),0)))</f>
        <v/>
      </c>
      <c r="Z127" s="347"/>
      <c r="AQ127" s="18"/>
    </row>
    <row r="128" spans="4:48" ht="15.75" customHeight="1">
      <c r="E128" s="138"/>
      <c r="F128" s="139"/>
      <c r="G128" s="1889"/>
      <c r="H128" s="792"/>
      <c r="I128" s="851" t="str">
        <f>IF(HayMonth13&gt;0,"Hay cut in:","")</f>
        <v/>
      </c>
      <c r="J128" s="852" t="str">
        <f>IF(HayMonth13=0,"",IF(HayMonth13=1,"Jan",IF(HayMonth13=2,"Feb",IF(HayMonth13=3,"Mar",IF(HayMonth13=4,"Apr",IF(HayMonth13=5,"May",IF(HayMonth13=6,"Jun",IF(HayMonth13=7,"Jul",IF(HayMonth13=8,"Aug",IF(HayMonth13=9,"Sep",IF(HayMonth13=10,"Oct",IF(HayMonth13=11,"Nov","Dec"))))))))))))</f>
        <v/>
      </c>
      <c r="K128" s="99"/>
      <c r="L128" s="1009"/>
      <c r="M128" s="89"/>
      <c r="N128" s="89"/>
      <c r="O128" s="89"/>
      <c r="P128" s="89"/>
      <c r="Q128" s="87"/>
      <c r="R128" s="89"/>
      <c r="S128" s="89"/>
      <c r="T128" s="89"/>
      <c r="U128" s="89"/>
      <c r="V128" s="89"/>
      <c r="W128" s="89"/>
      <c r="X128" s="89"/>
      <c r="Y128" s="95"/>
      <c r="Z128" s="347"/>
      <c r="AQ128" s="18"/>
    </row>
    <row r="129" spans="5:43" ht="16" customHeight="1">
      <c r="E129" s="138"/>
      <c r="F129" s="139"/>
      <c r="G129" s="1888">
        <v>14</v>
      </c>
      <c r="H129" s="176"/>
      <c r="I129" s="34"/>
      <c r="J129" s="9" t="str">
        <f>IF(Kind14="","",VLOOKUP(Kind14,ForageGrowthCurves!$A$6:'ForageGrowthCurves'!$Q$29,17,FALSE))</f>
        <v/>
      </c>
      <c r="K129" s="9" t="str">
        <f>IF(I129="","",I129*J129)</f>
        <v/>
      </c>
      <c r="L129" s="1038" t="str">
        <f>IF(ISBLANK(Acres14)="",(VLOOKUP(ROUND(TotalAcreGrazed/Acres14,0),[0]!PastureEffTable,2,)),"")</f>
        <v/>
      </c>
      <c r="M129" s="12" t="str">
        <f>IF(I129="","",K129*L129/100)</f>
        <v/>
      </c>
      <c r="N129" s="12" t="str">
        <f>IF($H129="","",IF(HayMonth14=0,VLOOKUP($H129,FORAGE2,3)*($M129),IF(AND(HayMonth14&gt;0,HayMonth14&lt;1),VLOOKUP($H129,FORAGE2,3)*($M129),0)))</f>
        <v/>
      </c>
      <c r="O129" s="12" t="str">
        <f>IF($H129="","",IF(HayMonth14=0,VLOOKUP($H129,FORAGE2,4)*($M129),IF(AND(HayMonth14&gt;0,HayMonth14&lt;2),VLOOKUP($H129,FORAGE2,4)*($M129),0)))</f>
        <v/>
      </c>
      <c r="P129" s="12" t="str">
        <f>IF($H129="","",IF(HayMonth14=0,VLOOKUP($H129,FORAGE2,5)*($M129),IF(AND(HayMonth14&gt;0,HayMonth14&lt;3),VLOOKUP($H129,FORAGE2,5)*($M129),0)))</f>
        <v/>
      </c>
      <c r="Q129" s="12" t="str">
        <f>IF($H129="","",IF(HayMonth14=0,VLOOKUP($H129,FORAGE2,6)*($M129),IF(AND(HayMonth14&gt;0,HayMonth14&lt;4),VLOOKUP($H129,FORAGE2,6)*($M129),0)))</f>
        <v/>
      </c>
      <c r="R129" s="12" t="str">
        <f>IF($H129="","",IF(HayMonth14=0,VLOOKUP($H129,FORAGE2,7)*($M129),IF(AND(HayMonth14&gt;0,HayMonth14&lt;5),VLOOKUP($H129,FORAGE2,7)*($M129),0)))</f>
        <v/>
      </c>
      <c r="S129" s="12" t="str">
        <f>IF($H129="","",IF(HayMonth14=0,VLOOKUP($H129,FORAGE2,8)*($M129),IF(AND(HayMonth14&gt;0,HayMonth14&lt;6),VLOOKUP($H129,FORAGE2,8)*($M129),0)))</f>
        <v/>
      </c>
      <c r="T129" s="12" t="str">
        <f>IF($H129="","",IF(HayMonth14=0,VLOOKUP($H129,FORAGE2,9)*($M129),IF(AND(HayMonth14&gt;0,HayMonth14&lt;7),VLOOKUP($H129,FORAGE2,9)*($M129),0)))</f>
        <v/>
      </c>
      <c r="U129" s="12" t="str">
        <f>IF($H129="","",IF(HayMonth14=0,VLOOKUP($H129,FORAGE2,10)*($M129),IF(AND(HayMonth14&gt;0,HayMonth14&lt;8),VLOOKUP($H129,FORAGE2,10)*($M129),0)))</f>
        <v/>
      </c>
      <c r="V129" s="12" t="str">
        <f>IF($H129="","",IF(HayMonth14=0,VLOOKUP($H129,FORAGE2,11)*($M129),IF(AND(HayMonth14&gt;0,HayMonth14&lt;9),VLOOKUP($H129,FORAGE2,11)*($M129),0)))</f>
        <v/>
      </c>
      <c r="W129" s="12" t="str">
        <f>IF($H129="","",IF(HayMonth14=0,VLOOKUP($H129,FORAGE2,12)*($M129),IF(AND(HayMonth14&gt;0,HayMonth14&lt;10),VLOOKUP($H129,FORAGE2,12)*($M129),0)))</f>
        <v/>
      </c>
      <c r="X129" s="12" t="str">
        <f>IF($H129="","",IF(HayMonth14=0,VLOOKUP($H129,FORAGE2,13)*($M129),IF(AND(HayMonth14&gt;0,HayMonth14&lt;11),VLOOKUP($H129,FORAGE2,13)*($M129),0)))</f>
        <v/>
      </c>
      <c r="Y129" s="12" t="str">
        <f>IF($H129="","",IF(HayMonth14=0,VLOOKUP($H129,FORAGE2,14)*($M129),IF(AND(HayMonth14&gt;0,HayMonth14&lt;12),VLOOKUP($H129,FORAGE2,14)*($M129),0)))</f>
        <v/>
      </c>
      <c r="Z129" s="347"/>
      <c r="AQ129" s="18"/>
    </row>
    <row r="130" spans="5:43" ht="15.75" customHeight="1">
      <c r="E130" s="138"/>
      <c r="F130" s="139"/>
      <c r="G130" s="1889"/>
      <c r="H130" s="792"/>
      <c r="I130" s="851" t="str">
        <f>IF(HayMonth14&gt;0,"Hay cut in:","")</f>
        <v/>
      </c>
      <c r="J130" s="852" t="str">
        <f>IF(HayMonth14=0,"",IF(HayMonth14=1,"Jan",IF(HayMonth14=2,"Feb",IF(HayMonth14=3,"Mar",IF(HayMonth14=4,"Apr",IF(HayMonth14=5,"May",IF(HayMonth14=6,"Jun",IF(HayMonth14=7,"Jul",IF(HayMonth14=8,"Aug",IF(HayMonth14=9,"Sep",IF(HayMonth14=10,"Oct",IF(HayMonth14=11,"Nov","Dec"))))))))))))</f>
        <v/>
      </c>
      <c r="K130" s="99"/>
      <c r="L130" s="1009"/>
      <c r="M130" s="89"/>
      <c r="N130" s="89"/>
      <c r="O130" s="89"/>
      <c r="P130" s="89"/>
      <c r="Q130" s="87"/>
      <c r="R130" s="89"/>
      <c r="S130" s="89"/>
      <c r="T130" s="89"/>
      <c r="U130" s="89"/>
      <c r="V130" s="89"/>
      <c r="W130" s="89"/>
      <c r="X130" s="89"/>
      <c r="Y130" s="95"/>
      <c r="Z130" s="347"/>
    </row>
    <row r="131" spans="5:43" ht="16" customHeight="1">
      <c r="E131" s="138"/>
      <c r="F131" s="139"/>
      <c r="G131" s="1888">
        <v>15</v>
      </c>
      <c r="H131" s="176"/>
      <c r="I131" s="34"/>
      <c r="J131" s="9" t="str">
        <f>IF(Kind15="","",VLOOKUP(Kind15,ForageGrowthCurves!$A$6:'ForageGrowthCurves'!$Q$29,17,FALSE))</f>
        <v/>
      </c>
      <c r="K131" s="9" t="str">
        <f>IF(I131="","",I131*J131)</f>
        <v/>
      </c>
      <c r="L131" s="1038" t="str">
        <f>IF(ISBLANK(Acres15)="",(VLOOKUP(ROUND(TotalAcreGrazed/Acres15,0),[0]!PastureEffTable,2,)),"")</f>
        <v/>
      </c>
      <c r="M131" s="12" t="str">
        <f>IF(I131="","",K131*L131/100)</f>
        <v/>
      </c>
      <c r="N131" s="12" t="str">
        <f>IF($H131="","",IF(HayMonth15=0,VLOOKUP($H131,FORAGE2,3)*($M131),IF(AND(HayMonth15&gt;0,HayMonth15&lt;1),VLOOKUP($H131,FORAGE2,3)*($M131),0)))</f>
        <v/>
      </c>
      <c r="O131" s="12" t="str">
        <f>IF($H131="","",IF(HayMonth15=0,VLOOKUP($H131,FORAGE2,4)*($M131),IF(AND(HayMonth15&gt;0,HayMonth15&lt;2),VLOOKUP($H131,FORAGE2,4)*($M131),0)))</f>
        <v/>
      </c>
      <c r="P131" s="12" t="str">
        <f>IF($H131="","",IF(HayMonth15=0,VLOOKUP($H131,FORAGE2,5)*($M131),IF(AND(HayMonth15&gt;0,HayMonth15&lt;3),VLOOKUP($H131,FORAGE2,5)*($M131),0)))</f>
        <v/>
      </c>
      <c r="Q131" s="12" t="str">
        <f>IF($H131="","",IF(HayMonth15=0,VLOOKUP($H131,FORAGE2,6)*($M131),IF(AND(HayMonth15&gt;0,HayMonth15&lt;4),VLOOKUP($H131,FORAGE2,6)*($M131),0)))</f>
        <v/>
      </c>
      <c r="R131" s="12" t="str">
        <f>IF($H131="","",IF(HayMonth15=0,VLOOKUP($H131,FORAGE2,7)*($M131),IF(AND(HayMonth15&gt;0,HayMonth15&lt;5),VLOOKUP($H131,FORAGE2,7)*($M131),0)))</f>
        <v/>
      </c>
      <c r="S131" s="12" t="str">
        <f>IF($H131="","",IF(HayMonth15=0,VLOOKUP($H131,FORAGE2,8)*($M131),IF(AND(HayMonth15&gt;0,HayMonth15&lt;6),VLOOKUP($H131,FORAGE2,8)*($M131),0)))</f>
        <v/>
      </c>
      <c r="T131" s="12" t="str">
        <f>IF($H131="","",IF(HayMonth15=0,VLOOKUP($H131,FORAGE2,9)*($M131),IF(AND(HayMonth15&gt;0,HayMonth15&lt;7),VLOOKUP($H131,FORAGE2,9)*($M131),0)))</f>
        <v/>
      </c>
      <c r="U131" s="12" t="str">
        <f>IF($H131="","",IF(HayMonth15=0,VLOOKUP($H131,FORAGE2,10)*($M131),IF(AND(HayMonth15&gt;0,HayMonth15&lt;8),VLOOKUP($H131,FORAGE2,10)*($M131),0)))</f>
        <v/>
      </c>
      <c r="V131" s="12" t="str">
        <f>IF($H131="","",IF(HayMonth15=0,VLOOKUP($H131,FORAGE2,11)*($M131),IF(AND(HayMonth15&gt;0,HayMonth15&lt;9),VLOOKUP($H131,FORAGE2,11)*($M131),0)))</f>
        <v/>
      </c>
      <c r="W131" s="12" t="str">
        <f>IF($H131="","",IF(HayMonth15=0,VLOOKUP($H131,FORAGE2,12)*($M131),IF(AND(HayMonth15&gt;0,HayMonth15&lt;10),VLOOKUP($H131,FORAGE2,12)*($M131),0)))</f>
        <v/>
      </c>
      <c r="X131" s="12" t="str">
        <f>IF($H131="","",IF(HayMonth15=0,VLOOKUP($H131,FORAGE2,13)*($M131),IF(AND(HayMonth15&gt;0,HayMonth15&lt;11),VLOOKUP($H131,FORAGE2,13)*($M131),0)))</f>
        <v/>
      </c>
      <c r="Y131" s="12" t="str">
        <f>IF($H131="","",IF(HayMonth15=0,VLOOKUP($H131,FORAGE2,14)*($M131),IF(AND(HayMonth15&gt;0,HayMonth15&lt;12),VLOOKUP($H131,FORAGE2,14)*($M131),0)))</f>
        <v/>
      </c>
      <c r="Z131" s="347"/>
      <c r="AQ131" s="18"/>
    </row>
    <row r="132" spans="5:43" ht="15.75" customHeight="1">
      <c r="E132" s="138"/>
      <c r="F132" s="139"/>
      <c r="G132" s="1889"/>
      <c r="H132" s="792"/>
      <c r="I132" s="851" t="str">
        <f>IF(HayMonth15&gt;0,"Hay cut in:","")</f>
        <v/>
      </c>
      <c r="J132" s="852" t="str">
        <f>IF(HayMonth15=0,"",IF(HayMonth15=1,"Jan",IF(HayMonth15=2,"Feb",IF(HayMonth15=3,"Mar",IF(HayMonth15=4,"Apr",IF(HayMonth15=5,"May",IF(HayMonth15=6,"Jun",IF(HayMonth15=7,"Jul",IF(HayMonth15=8,"Aug",IF(HayMonth15=9,"Sep",IF(HayMonth15=10,"Oct",IF(HayMonth15=11,"Nov","Dec"))))))))))))</f>
        <v/>
      </c>
      <c r="K132" s="99"/>
      <c r="L132" s="1009"/>
      <c r="M132" s="89"/>
      <c r="N132" s="89"/>
      <c r="O132" s="89"/>
      <c r="P132" s="89"/>
      <c r="Q132" s="87"/>
      <c r="R132" s="89"/>
      <c r="S132" s="89"/>
      <c r="T132" s="89"/>
      <c r="U132" s="89"/>
      <c r="V132" s="89"/>
      <c r="W132" s="89"/>
      <c r="X132" s="89"/>
      <c r="Y132" s="95"/>
      <c r="Z132" s="347"/>
    </row>
    <row r="133" spans="5:43" ht="16" customHeight="1">
      <c r="E133" s="138"/>
      <c r="F133" s="139"/>
      <c r="G133" s="1888">
        <v>16</v>
      </c>
      <c r="H133" s="176"/>
      <c r="I133" s="34"/>
      <c r="J133" s="9" t="str">
        <f>IF(Kind16="","",VLOOKUP(Kind16,ForageGrowthCurves!$A$6:'ForageGrowthCurves'!$Q$29,17,FALSE))</f>
        <v/>
      </c>
      <c r="K133" s="9" t="str">
        <f>IF(I133="","",I133*J133)</f>
        <v/>
      </c>
      <c r="L133" s="1038" t="str">
        <f>IF(ISBLANK(Acres16)="",(VLOOKUP(ROUND(TotalAcreGrazed/Acres16,0),[0]!PastureEffTable,2,)),"")</f>
        <v/>
      </c>
      <c r="M133" s="12" t="str">
        <f>IF(I133="","",K133*L133/100)</f>
        <v/>
      </c>
      <c r="N133" s="12" t="str">
        <f>IF($H133="","",IF(HayMonth16=0,VLOOKUP($H133,FORAGE2,3)*($M133),IF(AND(HayMonth16&gt;0,HayMonth16&lt;1),VLOOKUP($H133,FORAGE2,3)*($M133),0)))</f>
        <v/>
      </c>
      <c r="O133" s="12" t="str">
        <f>IF($H133="","",IF(HayMonth16=0,VLOOKUP($H133,FORAGE2,4)*($M133),IF(AND(HayMonth16&gt;0,HayMonth16&lt;2),VLOOKUP($H133,FORAGE2,4)*($M133),0)))</f>
        <v/>
      </c>
      <c r="P133" s="12" t="str">
        <f>IF($H133="","",IF(HayMonth16=0,VLOOKUP($H133,FORAGE2,5)*($M133),IF(AND(HayMonth16&gt;0,HayMonth16&lt;3),VLOOKUP($H133,FORAGE2,5)*($M133),0)))</f>
        <v/>
      </c>
      <c r="Q133" s="12" t="str">
        <f>IF($H133="","",IF(HayMonth16=0,VLOOKUP($H133,FORAGE2,6)*($M133),IF(AND(HayMonth16&gt;0,HayMonth16&lt;4),VLOOKUP($H133,FORAGE2,6)*($M133),0)))</f>
        <v/>
      </c>
      <c r="R133" s="12" t="str">
        <f>IF($H133="","",IF(HayMonth16=0,VLOOKUP($H133,FORAGE2,7)*($M133),IF(AND(HayMonth16&gt;0,HayMonth16&lt;5),VLOOKUP($H133,FORAGE2,7)*($M133),0)))</f>
        <v/>
      </c>
      <c r="S133" s="12" t="str">
        <f>IF($H133="","",IF(HayMonth16=0,VLOOKUP($H133,FORAGE2,8)*($M133),IF(AND(HayMonth16&gt;0,HayMonth16&lt;6),VLOOKUP($H133,FORAGE2,8)*($M133),0)))</f>
        <v/>
      </c>
      <c r="T133" s="12" t="str">
        <f>IF($H133="","",IF(HayMonth16=0,VLOOKUP($H133,FORAGE2,9)*($M133),IF(AND(HayMonth16&gt;0,HayMonth16&lt;7),VLOOKUP($H133,FORAGE2,9)*($M133),0)))</f>
        <v/>
      </c>
      <c r="U133" s="12" t="str">
        <f>IF($H133="","",IF(HayMonth16=0,VLOOKUP($H133,FORAGE2,10)*($M133),IF(AND(HayMonth16&gt;0,HayMonth16&lt;8),VLOOKUP($H133,FORAGE2,10)*($M133),0)))</f>
        <v/>
      </c>
      <c r="V133" s="12" t="str">
        <f>IF($H133="","",IF(HayMonth16=0,VLOOKUP($H133,FORAGE2,11)*($M133),IF(AND(HayMonth16&gt;0,HayMonth16&lt;9),VLOOKUP($H133,FORAGE2,11)*($M133),0)))</f>
        <v/>
      </c>
      <c r="W133" s="12" t="str">
        <f>IF($H133="","",IF(HayMonth16=0,VLOOKUP($H133,FORAGE2,12)*($M133),IF(AND(HayMonth16&gt;0,HayMonth16&lt;10),VLOOKUP($H133,FORAGE2,12)*($M133),0)))</f>
        <v/>
      </c>
      <c r="X133" s="12" t="str">
        <f>IF($H133="","",IF(HayMonth16=0,VLOOKUP($H133,FORAGE2,13)*($M133),IF(AND(HayMonth16&gt;0,HayMonth16&lt;11),VLOOKUP($H133,FORAGE2,13)*($M133),0)))</f>
        <v/>
      </c>
      <c r="Y133" s="12" t="str">
        <f>IF($H133="","",IF(HayMonth16=0,VLOOKUP($H133,FORAGE2,14)*($M133),IF(AND(HayMonth16&gt;0,HayMonth16&lt;12),VLOOKUP($H133,FORAGE2,14)*($M133),0)))</f>
        <v/>
      </c>
      <c r="Z133" s="347"/>
    </row>
    <row r="134" spans="5:43" ht="15.75" customHeight="1">
      <c r="E134" s="138"/>
      <c r="F134" s="139"/>
      <c r="G134" s="1889"/>
      <c r="H134" s="792"/>
      <c r="I134" s="851" t="str">
        <f>IF(HayMonth16&gt;0,"Hay cut in:","")</f>
        <v/>
      </c>
      <c r="J134" s="852" t="str">
        <f>IF(HayMonth16=0,"",IF(HayMonth16=1,"Jan",IF(HayMonth16=2,"Feb",IF(HayMonth16=3,"Mar",IF(HayMonth16=4,"Apr",IF(HayMonth16=5,"May",IF(HayMonth16=6,"Jun",IF(HayMonth16=7,"Jul",IF(HayMonth16=8,"Aug",IF(HayMonth16=9,"Sep",IF(HayMonth16=10,"Oct",IF(HayMonth16=11,"Nov","Dec"))))))))))))</f>
        <v/>
      </c>
      <c r="K134" s="99"/>
      <c r="L134" s="1009"/>
      <c r="M134" s="89"/>
      <c r="N134" s="89"/>
      <c r="O134" s="89"/>
      <c r="P134" s="89"/>
      <c r="Q134" s="87"/>
      <c r="R134" s="89"/>
      <c r="S134" s="89"/>
      <c r="T134" s="89"/>
      <c r="U134" s="89"/>
      <c r="V134" s="89"/>
      <c r="W134" s="89"/>
      <c r="X134" s="89"/>
      <c r="Y134" s="95"/>
      <c r="Z134" s="347"/>
    </row>
    <row r="135" spans="5:43" ht="16" customHeight="1">
      <c r="E135" s="138"/>
      <c r="F135" s="139"/>
      <c r="G135" s="1888">
        <v>17</v>
      </c>
      <c r="H135" s="176"/>
      <c r="I135" s="34"/>
      <c r="J135" s="9" t="str">
        <f>IF(Kind17="","",VLOOKUP(Kind17,ForageGrowthCurves!$A$6:'ForageGrowthCurves'!$Q$29,17,FALSE))</f>
        <v/>
      </c>
      <c r="K135" s="9" t="str">
        <f>IF(I135="","",I135*J135)</f>
        <v/>
      </c>
      <c r="L135" s="1038" t="str">
        <f>IF(ISBLANK(Acres17)="",(VLOOKUP(ROUND(TotalAcreGrazed/Acres17,0),[0]!PastureEffTable,2,)),"")</f>
        <v/>
      </c>
      <c r="M135" s="12" t="str">
        <f>IF(I135="","",K135*L135/100)</f>
        <v/>
      </c>
      <c r="N135" s="12" t="str">
        <f>IF($H135="","",IF(HayMonth17=0,VLOOKUP($H135,FORAGE2,3)*($M135),IF(AND(HayMonth17&gt;0,HayMonth17&lt;1),VLOOKUP($H135,FORAGE2,3)*($M135),0)))</f>
        <v/>
      </c>
      <c r="O135" s="12" t="str">
        <f>IF($H135="","",IF(HayMonth17=0,VLOOKUP($H135,FORAGE2,4)*($M135),IF(AND(HayMonth17&gt;0,HayMonth17&lt;2),VLOOKUP($H135,FORAGE2,4)*($M135),0)))</f>
        <v/>
      </c>
      <c r="P135" s="12" t="str">
        <f>IF($H135="","",IF(HayMonth17=0,VLOOKUP($H135,FORAGE2,5)*($M135),IF(AND(HayMonth17&gt;0,HayMonth17&lt;3),VLOOKUP($H135,FORAGE2,5)*($M135),0)))</f>
        <v/>
      </c>
      <c r="Q135" s="12" t="str">
        <f>IF($H135="","",IF(HayMonth17=0,VLOOKUP($H135,FORAGE2,6)*($M135),IF(AND(HayMonth17&gt;0,HayMonth17&lt;4),VLOOKUP($H135,FORAGE2,6)*($M135),0)))</f>
        <v/>
      </c>
      <c r="R135" s="12" t="str">
        <f>IF($H135="","",IF(HayMonth17=0,VLOOKUP($H135,FORAGE2,7)*($M135),IF(AND(HayMonth17&gt;0,HayMonth17&lt;5),VLOOKUP($H135,FORAGE2,7)*($M135),0)))</f>
        <v/>
      </c>
      <c r="S135" s="12" t="str">
        <f>IF($H135="","",IF(HayMonth17=0,VLOOKUP($H135,FORAGE2,8)*($M135),IF(AND(HayMonth17&gt;0,HayMonth17&lt;6),VLOOKUP($H135,FORAGE2,8)*($M135),0)))</f>
        <v/>
      </c>
      <c r="T135" s="12" t="str">
        <f>IF($H135="","",IF(HayMonth17=0,VLOOKUP($H135,FORAGE2,9)*($M135),IF(AND(HayMonth17&gt;0,HayMonth17&lt;7),VLOOKUP($H135,FORAGE2,9)*($M135),0)))</f>
        <v/>
      </c>
      <c r="U135" s="12" t="str">
        <f>IF($H135="","",IF(HayMonth17=0,VLOOKUP($H135,FORAGE2,10)*($M135),IF(AND(HayMonth17&gt;0,HayMonth17&lt;8),VLOOKUP($H135,FORAGE2,10)*($M135),0)))</f>
        <v/>
      </c>
      <c r="V135" s="12" t="str">
        <f>IF($H135="","",IF(HayMonth17=0,VLOOKUP($H135,FORAGE2,11)*($M135),IF(AND(HayMonth17&gt;0,HayMonth17&lt;9),VLOOKUP($H135,FORAGE2,11)*($M135),0)))</f>
        <v/>
      </c>
      <c r="W135" s="12" t="str">
        <f>IF($H135="","",IF(HayMonth17=0,VLOOKUP($H135,FORAGE2,12)*($M135),IF(AND(HayMonth17&gt;0,HayMonth17&lt;10),VLOOKUP($H135,FORAGE2,12)*($M135),0)))</f>
        <v/>
      </c>
      <c r="X135" s="12" t="str">
        <f>IF($H135="","",IF(HayMonth17=0,VLOOKUP($H135,FORAGE2,13)*($M135),IF(AND(HayMonth17&gt;0,HayMonth17&lt;11),VLOOKUP($H135,FORAGE2,13)*($M135),0)))</f>
        <v/>
      </c>
      <c r="Y135" s="12" t="str">
        <f>IF($H135="","",IF(HayMonth17=0,VLOOKUP($H135,FORAGE2,14)*($M135),IF(AND(HayMonth17&gt;0,HayMonth17&lt;12),VLOOKUP($H135,FORAGE2,14)*($M135),0)))</f>
        <v/>
      </c>
      <c r="Z135" s="347"/>
    </row>
    <row r="136" spans="5:43" ht="15.75" customHeight="1">
      <c r="E136" s="138"/>
      <c r="F136" s="139"/>
      <c r="G136" s="1889"/>
      <c r="H136" s="792"/>
      <c r="I136" s="851" t="str">
        <f>IF(HayMonth17&gt;0,"Hay cut in:","")</f>
        <v/>
      </c>
      <c r="J136" s="852" t="str">
        <f>IF(HayMonth17=0,"",IF(HayMonth17=1,"Jan",IF(HayMonth17=2,"Feb",IF(HayMonth17=3,"Mar",IF(HayMonth17=4,"Apr",IF(HayMonth17=5,"May",IF(HayMonth17=6,"Jun",IF(HayMonth17=7,"Jul",IF(HayMonth17=8,"Aug",IF(HayMonth17=9,"Sep",IF(HayMonth17=10,"Oct",IF(HayMonth17=11,"Nov","Dec"))))))))))))</f>
        <v/>
      </c>
      <c r="K136" s="99"/>
      <c r="L136" s="1009"/>
      <c r="M136" s="89"/>
      <c r="N136" s="89"/>
      <c r="O136" s="89"/>
      <c r="P136" s="89"/>
      <c r="Q136" s="87"/>
      <c r="R136" s="89"/>
      <c r="S136" s="89"/>
      <c r="T136" s="89"/>
      <c r="U136" s="89"/>
      <c r="V136" s="89"/>
      <c r="W136" s="89"/>
      <c r="X136" s="89"/>
      <c r="Y136" s="95"/>
      <c r="Z136" s="347"/>
    </row>
    <row r="137" spans="5:43" ht="16" customHeight="1">
      <c r="E137" s="138"/>
      <c r="F137" s="139"/>
      <c r="G137" s="1888">
        <v>18</v>
      </c>
      <c r="H137" s="176"/>
      <c r="I137" s="34"/>
      <c r="J137" s="9" t="str">
        <f>IF(Kind18="","",VLOOKUP(Kind18,ForageGrowthCurves!$A$6:'ForageGrowthCurves'!$Q$29,17,FALSE))</f>
        <v/>
      </c>
      <c r="K137" s="9" t="str">
        <f>IF(I137="","",I137*J137)</f>
        <v/>
      </c>
      <c r="L137" s="1038" t="str">
        <f>IF(ISBLANK(Acres18)="",(VLOOKUP(ROUND(TotalAcreGrazed/Acres18,0),[0]!PastureEffTable,2,)),"")</f>
        <v/>
      </c>
      <c r="M137" s="12" t="str">
        <f>IF(I137="","",K137*L137/100)</f>
        <v/>
      </c>
      <c r="N137" s="12" t="str">
        <f>IF($H137="","",IF(HayMonth18=0,VLOOKUP($H137,FORAGE2,3)*($M137),IF(AND(HayMonth18&gt;0,HayMonth18&lt;1),VLOOKUP($H137,FORAGE2,3)*($M137),0)))</f>
        <v/>
      </c>
      <c r="O137" s="12" t="str">
        <f>IF($H137="","",IF(HayMonth18=0,VLOOKUP($H137,FORAGE2,4)*($M137),IF(AND(HayMonth18&gt;0,HayMonth18&lt;2),VLOOKUP($H137,FORAGE2,4)*($M137),0)))</f>
        <v/>
      </c>
      <c r="P137" s="12" t="str">
        <f>IF($H137="","",IF(HayMonth18=0,VLOOKUP($H137,FORAGE2,5)*($M137),IF(AND(HayMonth18&gt;0,HayMonth18&lt;3),VLOOKUP($H137,FORAGE2,5)*($M137),0)))</f>
        <v/>
      </c>
      <c r="Q137" s="12" t="str">
        <f>IF($H137="","",IF(HayMonth18=0,VLOOKUP($H137,FORAGE2,6)*($M137),IF(AND(HayMonth18&gt;0,HayMonth18&lt;4),VLOOKUP($H137,FORAGE2,6)*($M137),0)))</f>
        <v/>
      </c>
      <c r="R137" s="12" t="str">
        <f>IF($H137="","",IF(HayMonth18=0,VLOOKUP($H137,FORAGE2,7)*($M137),IF(AND(HayMonth18&gt;0,HayMonth18&lt;5),VLOOKUP($H137,FORAGE2,7)*($M137),0)))</f>
        <v/>
      </c>
      <c r="S137" s="12" t="str">
        <f>IF($H137="","",IF(HayMonth18=0,VLOOKUP($H137,FORAGE2,8)*($M137),IF(AND(HayMonth18&gt;0,HayMonth18&lt;6),VLOOKUP($H137,FORAGE2,8)*($M137),0)))</f>
        <v/>
      </c>
      <c r="T137" s="12" t="str">
        <f>IF($H137="","",IF(HayMonth18=0,VLOOKUP($H137,FORAGE2,9)*($M137),IF(AND(HayMonth18&gt;0,HayMonth18&lt;7),VLOOKUP($H137,FORAGE2,9)*($M137),0)))</f>
        <v/>
      </c>
      <c r="U137" s="12" t="str">
        <f>IF($H137="","",IF(HayMonth18=0,VLOOKUP($H137,FORAGE2,10)*($M137),IF(AND(HayMonth18&gt;0,HayMonth18&lt;8),VLOOKUP($H137,FORAGE2,10)*($M137),0)))</f>
        <v/>
      </c>
      <c r="V137" s="12" t="str">
        <f>IF($H137="","",IF(HayMonth18=0,VLOOKUP($H137,FORAGE2,11)*($M137),IF(AND(HayMonth18&gt;0,HayMonth18&lt;9),VLOOKUP($H137,FORAGE2,11)*($M137),0)))</f>
        <v/>
      </c>
      <c r="W137" s="12" t="str">
        <f>IF($H137="","",IF(HayMonth18=0,VLOOKUP($H137,FORAGE2,12)*($M137),IF(AND(HayMonth18&gt;0,HayMonth18&lt;10),VLOOKUP($H137,FORAGE2,12)*($M137),0)))</f>
        <v/>
      </c>
      <c r="X137" s="12" t="str">
        <f>IF($H137="","",IF(HayMonth18=0,VLOOKUP($H137,FORAGE2,13)*($M137),IF(AND(HayMonth18&gt;0,HayMonth18&lt;11),VLOOKUP($H137,FORAGE2,13)*($M137),0)))</f>
        <v/>
      </c>
      <c r="Y137" s="12" t="str">
        <f>IF($H137="","",IF(HayMonth18=0,VLOOKUP($H137,FORAGE2,14)*($M137),IF(AND(HayMonth18&gt;0,HayMonth18&lt;12),VLOOKUP($H137,FORAGE2,14)*($M137),0)))</f>
        <v/>
      </c>
      <c r="Z137" s="347"/>
    </row>
    <row r="138" spans="5:43" ht="15.75" customHeight="1">
      <c r="E138" s="138"/>
      <c r="F138" s="139"/>
      <c r="G138" s="1889"/>
      <c r="H138" s="792"/>
      <c r="I138" s="851" t="str">
        <f>IF(HayMonth18&gt;0,"Hay cut in:","")</f>
        <v/>
      </c>
      <c r="J138" s="852" t="str">
        <f>IF(HayMonth18=0,"",IF(HayMonth18=1,"Jan",IF(HayMonth18=2,"Feb",IF(HayMonth18=3,"Mar",IF(HayMonth18=4,"Apr",IF(HayMonth18=5,"May",IF(HayMonth18=6,"Jun",IF(HayMonth18=7,"Jul",IF(HayMonth18=8,"Aug",IF(HayMonth18=9,"Sep",IF(HayMonth18=10,"Oct",IF(HayMonth18=11,"Nov","Dec"))))))))))))</f>
        <v/>
      </c>
      <c r="K138" s="99"/>
      <c r="L138" s="1009"/>
      <c r="M138" s="89"/>
      <c r="N138" s="89"/>
      <c r="O138" s="89"/>
      <c r="P138" s="89"/>
      <c r="Q138" s="87"/>
      <c r="R138" s="89"/>
      <c r="S138" s="89"/>
      <c r="T138" s="89"/>
      <c r="U138" s="89"/>
      <c r="V138" s="89"/>
      <c r="W138" s="89"/>
      <c r="X138" s="89"/>
      <c r="Y138" s="95"/>
      <c r="Z138" s="347"/>
    </row>
    <row r="139" spans="5:43" ht="16" customHeight="1">
      <c r="E139" s="138"/>
      <c r="F139" s="139"/>
      <c r="G139" s="1888">
        <v>19</v>
      </c>
      <c r="H139" s="176"/>
      <c r="I139" s="34"/>
      <c r="J139" s="9" t="str">
        <f>IF(Kind19="","",VLOOKUP(Kind19,ForageGrowthCurves!$A$6:'ForageGrowthCurves'!$Q$29,17,FALSE))</f>
        <v/>
      </c>
      <c r="K139" s="9" t="str">
        <f>IF(I139="","",I139*J139)</f>
        <v/>
      </c>
      <c r="L139" s="1038" t="str">
        <f>IF(ISBLANK(Acres19)="",(VLOOKUP(ROUND(TotalAcreGrazed/Acres19,0),[0]!PastureEffTable,2,)),"")</f>
        <v/>
      </c>
      <c r="M139" s="12" t="str">
        <f>IF(I139="","",K139*L139/100)</f>
        <v/>
      </c>
      <c r="N139" s="12" t="str">
        <f>IF($H139="","",IF(HayMonth19=0,VLOOKUP($H139,FORAGE2,3)*($M139),IF(AND(HayMonth19&gt;0,HayMonth19&lt;1),VLOOKUP($H139,FORAGE2,3)*($M139),0)))</f>
        <v/>
      </c>
      <c r="O139" s="12" t="str">
        <f>IF($H139="","",IF(HayMonth19=0,VLOOKUP($H139,FORAGE2,4)*($M139),IF(AND(HayMonth19&gt;0,HayMonth19&lt;2),VLOOKUP($H139,FORAGE2,4)*($M139),0)))</f>
        <v/>
      </c>
      <c r="P139" s="12" t="str">
        <f>IF($H139="","",IF(HayMonth19=0,VLOOKUP($H139,FORAGE2,5)*($M139),IF(AND(HayMonth19&gt;0,HayMonth19&lt;3),VLOOKUP($H139,FORAGE2,5)*($M139),0)))</f>
        <v/>
      </c>
      <c r="Q139" s="12" t="str">
        <f>IF($H139="","",IF(HayMonth19=0,VLOOKUP($H139,FORAGE2,6)*($M139),IF(AND(HayMonth19&gt;0,HayMonth19&lt;4),VLOOKUP($H139,FORAGE2,6)*($M139),0)))</f>
        <v/>
      </c>
      <c r="R139" s="12" t="str">
        <f>IF($H139="","",IF(HayMonth19=0,VLOOKUP($H139,FORAGE2,7)*($M139),IF(AND(HayMonth19&gt;0,HayMonth19&lt;5),VLOOKUP($H139,FORAGE2,7)*($M139),0)))</f>
        <v/>
      </c>
      <c r="S139" s="12" t="str">
        <f>IF($H139="","",IF(HayMonth19=0,VLOOKUP($H139,FORAGE2,8)*($M139),IF(AND(HayMonth19&gt;0,HayMonth19&lt;6),VLOOKUP($H139,FORAGE2,8)*($M139),0)))</f>
        <v/>
      </c>
      <c r="T139" s="12" t="str">
        <f>IF($H139="","",IF(HayMonth19=0,VLOOKUP($H139,FORAGE2,9)*($M139),IF(AND(HayMonth19&gt;0,HayMonth19&lt;7),VLOOKUP($H139,FORAGE2,9)*($M139),0)))</f>
        <v/>
      </c>
      <c r="U139" s="12" t="str">
        <f>IF($H139="","",IF(HayMonth19=0,VLOOKUP($H139,FORAGE2,10)*($M139),IF(AND(HayMonth19&gt;0,HayMonth19&lt;8),VLOOKUP($H139,FORAGE2,10)*($M139),0)))</f>
        <v/>
      </c>
      <c r="V139" s="12" t="str">
        <f>IF($H139="","",IF(HayMonth19=0,VLOOKUP($H139,FORAGE2,11)*($M139),IF(AND(HayMonth19&gt;0,HayMonth19&lt;9),VLOOKUP($H139,FORAGE2,11)*($M139),0)))</f>
        <v/>
      </c>
      <c r="W139" s="12" t="str">
        <f>IF($H139="","",IF(HayMonth19=0,VLOOKUP($H139,FORAGE2,12)*($M139),IF(AND(HayMonth19&gt;0,HayMonth19&lt;10),VLOOKUP($H139,FORAGE2,12)*($M139),0)))</f>
        <v/>
      </c>
      <c r="X139" s="12" t="str">
        <f>IF($H139="","",IF(HayMonth19=0,VLOOKUP($H139,FORAGE2,13)*($M139),IF(AND(HayMonth19&gt;0,HayMonth19&lt;11),VLOOKUP($H139,FORAGE2,13)*($M139),0)))</f>
        <v/>
      </c>
      <c r="Y139" s="12" t="str">
        <f>IF($H139="","",IF(HayMonth19=0,VLOOKUP($H139,FORAGE2,14)*($M139),IF(AND(HayMonth19&gt;0,HayMonth19&lt;12),VLOOKUP($H139,FORAGE2,14)*($M139),0)))</f>
        <v/>
      </c>
      <c r="Z139" s="347"/>
    </row>
    <row r="140" spans="5:43" ht="15.75" customHeight="1">
      <c r="E140" s="138"/>
      <c r="F140" s="139"/>
      <c r="G140" s="1889"/>
      <c r="H140" s="792"/>
      <c r="I140" s="851" t="str">
        <f>IF(HayMonth19&gt;0,"Hay cut in:","")</f>
        <v/>
      </c>
      <c r="J140" s="852" t="str">
        <f>IF(HayMonth19=0,"",IF(HayMonth19=1,"Jan",IF(HayMonth19=2,"Feb",IF(HayMonth19=3,"Mar",IF(HayMonth19=4,"Apr",IF(HayMonth19=5,"May",IF(HayMonth19=6,"Jun",IF(HayMonth19=7,"Jul",IF(HayMonth19=8,"Aug",IF(HayMonth19=9,"Sep",IF(HayMonth19=10,"Oct",IF(HayMonth19=11,"Nov","Dec"))))))))))))</f>
        <v/>
      </c>
      <c r="K140" s="99"/>
      <c r="L140" s="1009"/>
      <c r="M140" s="89"/>
      <c r="N140" s="89"/>
      <c r="O140" s="89"/>
      <c r="P140" s="89"/>
      <c r="Q140" s="87"/>
      <c r="R140" s="89"/>
      <c r="S140" s="89"/>
      <c r="T140" s="89"/>
      <c r="U140" s="89"/>
      <c r="V140" s="89"/>
      <c r="W140" s="89"/>
      <c r="X140" s="89"/>
      <c r="Y140" s="95"/>
      <c r="Z140" s="347"/>
    </row>
    <row r="141" spans="5:43" ht="16" customHeight="1">
      <c r="E141" s="138"/>
      <c r="F141" s="139"/>
      <c r="G141" s="1888">
        <v>20</v>
      </c>
      <c r="H141" s="176"/>
      <c r="I141" s="34"/>
      <c r="J141" s="9" t="str">
        <f>IF(Kind20="","",VLOOKUP(Kind20,ForageGrowthCurves!$A$6:'ForageGrowthCurves'!$Q$29,17,FALSE))</f>
        <v/>
      </c>
      <c r="K141" s="9" t="str">
        <f>IF(I141="","",I141*J141)</f>
        <v/>
      </c>
      <c r="L141" s="1038" t="str">
        <f>IF(ISBLANK(Acres20)="",(VLOOKUP(ROUND(TotalAcreGrazed/Acres20,0),[0]!PastureEffTable,2,)),"")</f>
        <v/>
      </c>
      <c r="M141" s="12" t="str">
        <f>IF(I141="","",K141*L141/100)</f>
        <v/>
      </c>
      <c r="N141" s="12" t="str">
        <f>IF($H141="","",IF(HayMonth20=0,VLOOKUP($H141,FORAGE2,3)*($M141),IF(AND(HayMonth20&gt;0,HayMonth20&lt;1),VLOOKUP($H141,FORAGE2,3)*($M141),0)))</f>
        <v/>
      </c>
      <c r="O141" s="12" t="str">
        <f>IF($H141="","",IF(HayMonth20=0,VLOOKUP($H141,FORAGE2,4)*($M141),IF(AND(HayMonth20&gt;0,HayMonth20&lt;2),VLOOKUP($H141,FORAGE2,4)*($M141),0)))</f>
        <v/>
      </c>
      <c r="P141" s="12" t="str">
        <f>IF($H141="","",IF(HayMonth20=0,VLOOKUP($H141,FORAGE2,5)*($M141),IF(AND(HayMonth20&gt;0,HayMonth20&lt;3),VLOOKUP($H141,FORAGE2,5)*($M141),0)))</f>
        <v/>
      </c>
      <c r="Q141" s="12" t="str">
        <f>IF($H141="","",IF(HayMonth20=0,VLOOKUP($H141,FORAGE2,6)*($M141),IF(AND(HayMonth20&gt;0,HayMonth20&lt;4),VLOOKUP($H141,FORAGE2,6)*($M141),0)))</f>
        <v/>
      </c>
      <c r="R141" s="12" t="str">
        <f>IF($H141="","",IF(HayMonth20=0,VLOOKUP($H141,FORAGE2,7)*($M141),IF(AND(HayMonth20&gt;0,HayMonth20&lt;5),VLOOKUP($H141,FORAGE2,7)*($M141),0)))</f>
        <v/>
      </c>
      <c r="S141" s="12" t="str">
        <f>IF($H141="","",IF(HayMonth20=0,VLOOKUP($H141,FORAGE2,8)*($M141),IF(AND(HayMonth20&gt;0,HayMonth20&lt;6),VLOOKUP($H141,FORAGE2,8)*($M141),0)))</f>
        <v/>
      </c>
      <c r="T141" s="12" t="str">
        <f>IF($H141="","",IF(HayMonth20=0,VLOOKUP($H141,FORAGE2,9)*($M141),IF(AND(HayMonth20&gt;0,HayMonth20&lt;7),VLOOKUP($H141,FORAGE2,9)*($M141),0)))</f>
        <v/>
      </c>
      <c r="U141" s="12" t="str">
        <f>IF($H141="","",IF(HayMonth20=0,VLOOKUP($H141,FORAGE2,10)*($M141),IF(AND(HayMonth20&gt;0,HayMonth20&lt;8),VLOOKUP($H141,FORAGE2,10)*($M141),0)))</f>
        <v/>
      </c>
      <c r="V141" s="12" t="str">
        <f>IF($H141="","",IF(HayMonth20=0,VLOOKUP($H141,FORAGE2,11)*($M141),IF(AND(HayMonth20&gt;0,HayMonth20&lt;9),VLOOKUP($H141,FORAGE2,11)*($M141),0)))</f>
        <v/>
      </c>
      <c r="W141" s="12" t="str">
        <f>IF($H141="","",IF(HayMonth20=0,VLOOKUP($H141,FORAGE2,12)*($M141),IF(AND(HayMonth20&gt;0,HayMonth20&lt;10),VLOOKUP($H141,FORAGE2,12)*($M141),0)))</f>
        <v/>
      </c>
      <c r="X141" s="12" t="str">
        <f>IF($H141="","",IF(HayMonth20=0,VLOOKUP($H141,FORAGE2,13)*($M141),IF(AND(HayMonth20&gt;0,HayMonth20&lt;11),VLOOKUP($H141,FORAGE2,13)*($M141),0)))</f>
        <v/>
      </c>
      <c r="Y141" s="12" t="str">
        <f>IF($H141="","",IF(HayMonth20=0,VLOOKUP($H141,FORAGE2,14)*($M141),IF(AND(HayMonth20&gt;0,HayMonth20&lt;12),VLOOKUP($H141,FORAGE2,14)*($M141),0)))</f>
        <v/>
      </c>
      <c r="Z141" s="347"/>
    </row>
    <row r="142" spans="5:43" ht="15.75" customHeight="1">
      <c r="E142" s="138"/>
      <c r="F142" s="139"/>
      <c r="G142" s="1889"/>
      <c r="H142" s="792"/>
      <c r="I142" s="851" t="str">
        <f>IF(HayMonth20&gt;0,"Hay cut in:","")</f>
        <v/>
      </c>
      <c r="J142" s="852" t="str">
        <f>IF(HayMonth20=0,"",IF(HayMonth20=1,"Jan",IF(HayMonth20=2,"Feb",IF(HayMonth20=3,"Mar",IF(HayMonth20=4,"Apr",IF(HayMonth20=5,"May",IF(HayMonth20=6,"Jun",IF(HayMonth20=7,"Jul",IF(HayMonth20=8,"Aug",IF(HayMonth20=9,"Sep",IF(HayMonth20=10,"Oct",IF(HayMonth20=11,"Nov","Dec"))))))))))))</f>
        <v/>
      </c>
      <c r="K142" s="99"/>
      <c r="L142" s="1009"/>
      <c r="M142" s="89"/>
      <c r="N142" s="89"/>
      <c r="O142" s="89"/>
      <c r="P142" s="89"/>
      <c r="Q142" s="87"/>
      <c r="R142" s="89"/>
      <c r="S142" s="89"/>
      <c r="T142" s="89"/>
      <c r="U142" s="89"/>
      <c r="V142" s="89"/>
      <c r="W142" s="89"/>
      <c r="X142" s="89"/>
      <c r="Y142" s="95"/>
      <c r="Z142" s="347"/>
    </row>
    <row r="143" spans="5:43" ht="16" customHeight="1">
      <c r="E143" s="138"/>
      <c r="F143" s="139"/>
      <c r="G143" s="1888">
        <v>21</v>
      </c>
      <c r="H143" s="176"/>
      <c r="I143" s="34"/>
      <c r="J143" s="9" t="str">
        <f>IF(Kind21="","",VLOOKUP(Kind21,ForageGrowthCurves!$A$6:'ForageGrowthCurves'!$Q$29,17,FALSE))</f>
        <v/>
      </c>
      <c r="K143" s="9" t="str">
        <f>IF(I143="","",I143*J143)</f>
        <v/>
      </c>
      <c r="L143" s="1038" t="str">
        <f>IF(ISBLANK(Acres21)="",(VLOOKUP(ROUND(TotalAcreGrazed/Acres21,0),[0]!PastureEffTable,2,)),"")</f>
        <v/>
      </c>
      <c r="M143" s="12" t="str">
        <f>IF(I143="","",K143*L143/100)</f>
        <v/>
      </c>
      <c r="N143" s="12" t="str">
        <f>IF($H143="","",IF(HayMonth21=0,VLOOKUP($H143,FORAGE2,3)*($M143),IF(AND(HayMonth21&gt;0,HayMonth21&lt;1),VLOOKUP($H143,FORAGE2,3)*($M143),0)))</f>
        <v/>
      </c>
      <c r="O143" s="12" t="str">
        <f>IF($H143="","",IF(HayMonth21=0,VLOOKUP($H143,FORAGE2,4)*($M143),IF(AND(HayMonth21&gt;0,HayMonth21&lt;2),VLOOKUP($H143,FORAGE2,4)*($M143),0)))</f>
        <v/>
      </c>
      <c r="P143" s="12" t="str">
        <f>IF($H143="","",IF(HayMonth21=0,VLOOKUP($H143,FORAGE2,5)*($M143),IF(AND(HayMonth21&gt;0,HayMonth21&lt;3),VLOOKUP($H143,FORAGE2,5)*($M143),0)))</f>
        <v/>
      </c>
      <c r="Q143" s="12" t="str">
        <f>IF($H143="","",IF(HayMonth21=0,VLOOKUP($H143,FORAGE2,6)*($M143),IF(AND(HayMonth21&gt;0,HayMonth21&lt;4),VLOOKUP($H143,FORAGE2,6)*($M143),0)))</f>
        <v/>
      </c>
      <c r="R143" s="12" t="str">
        <f>IF($H143="","",IF(HayMonth21=0,VLOOKUP($H143,FORAGE2,7)*($M143),IF(AND(HayMonth21&gt;0,HayMonth21&lt;5),VLOOKUP($H143,FORAGE2,7)*($M143),0)))</f>
        <v/>
      </c>
      <c r="S143" s="12" t="str">
        <f>IF($H143="","",IF(HayMonth21=0,VLOOKUP($H143,FORAGE2,8)*($M143),IF(AND(HayMonth21&gt;0,HayMonth21&lt;6),VLOOKUP($H143,FORAGE2,8)*($M143),0)))</f>
        <v/>
      </c>
      <c r="T143" s="12" t="str">
        <f>IF($H143="","",IF(HayMonth21=0,VLOOKUP($H143,FORAGE2,9)*($M143),IF(AND(HayMonth21&gt;0,HayMonth21&lt;7),VLOOKUP($H143,FORAGE2,9)*($M143),0)))</f>
        <v/>
      </c>
      <c r="U143" s="12" t="str">
        <f>IF($H143="","",IF(HayMonth21=0,VLOOKUP($H143,FORAGE2,10)*($M143),IF(AND(HayMonth21&gt;0,HayMonth21&lt;8),VLOOKUP($H143,FORAGE2,10)*($M143),0)))</f>
        <v/>
      </c>
      <c r="V143" s="12" t="str">
        <f>IF($H143="","",IF(HayMonth21=0,VLOOKUP($H143,FORAGE2,11)*($M143),IF(AND(HayMonth21&gt;0,HayMonth21&lt;9),VLOOKUP($H143,FORAGE2,11)*($M143),0)))</f>
        <v/>
      </c>
      <c r="W143" s="12" t="str">
        <f>IF($H143="","",IF(HayMonth21=0,VLOOKUP($H143,FORAGE2,12)*($M143),IF(AND(HayMonth21&gt;0,HayMonth21&lt;10),VLOOKUP($H143,FORAGE2,12)*($M143),0)))</f>
        <v/>
      </c>
      <c r="X143" s="12" t="str">
        <f>IF($H143="","",IF(HayMonth21=0,VLOOKUP($H143,FORAGE2,13)*($M143),IF(AND(HayMonth21&gt;0,HayMonth21&lt;11),VLOOKUP($H143,FORAGE2,13)*($M143),0)))</f>
        <v/>
      </c>
      <c r="Y143" s="12" t="str">
        <f>IF($H143="","",IF(HayMonth21=0,VLOOKUP($H143,FORAGE2,14)*($M143),IF(AND(HayMonth21&gt;0,HayMonth21&lt;12),VLOOKUP($H143,FORAGE2,14)*($M143),0)))</f>
        <v/>
      </c>
      <c r="Z143" s="347"/>
    </row>
    <row r="144" spans="5:43" ht="15.75" customHeight="1">
      <c r="E144" s="138"/>
      <c r="F144" s="139"/>
      <c r="G144" s="1889"/>
      <c r="H144" s="792"/>
      <c r="I144" s="851" t="str">
        <f>IF(HayMonth21&gt;0,"Hay cut in:","")</f>
        <v/>
      </c>
      <c r="J144" s="852" t="str">
        <f>IF(HayMonth21=0,"",IF(HayMonth21=1,"Jan",IF(HayMonth21=2,"Feb",IF(HayMonth21=3,"Mar",IF(HayMonth21=4,"Apr",IF(HayMonth21=5,"May",IF(HayMonth21=6,"Jun",IF(HayMonth21=7,"Jul",IF(HayMonth21=8,"Aug",IF(HayMonth21=9,"Sep",IF(HayMonth21=10,"Oct",IF(HayMonth21=11,"Nov","Dec"))))))))))))</f>
        <v/>
      </c>
      <c r="K144" s="99"/>
      <c r="L144" s="1009"/>
      <c r="M144" s="89"/>
      <c r="N144" s="89"/>
      <c r="O144" s="89"/>
      <c r="P144" s="89"/>
      <c r="Q144" s="87"/>
      <c r="R144" s="89"/>
      <c r="S144" s="89"/>
      <c r="T144" s="89"/>
      <c r="U144" s="89"/>
      <c r="V144" s="89"/>
      <c r="W144" s="89"/>
      <c r="X144" s="89"/>
      <c r="Y144" s="95"/>
      <c r="Z144" s="347"/>
    </row>
    <row r="145" spans="5:26" ht="16" customHeight="1">
      <c r="E145" s="138"/>
      <c r="F145" s="139"/>
      <c r="G145" s="1888">
        <v>22</v>
      </c>
      <c r="H145" s="176"/>
      <c r="I145" s="34"/>
      <c r="J145" s="9" t="str">
        <f>IF(Kind22="","",VLOOKUP(Kind22,ForageGrowthCurves!$A$6:'ForageGrowthCurves'!$Q$29,17,FALSE))</f>
        <v/>
      </c>
      <c r="K145" s="9" t="str">
        <f>IF(I145="","",I145*J145)</f>
        <v/>
      </c>
      <c r="L145" s="1038" t="str">
        <f>IF(ISBLANK(Acres22)="",(VLOOKUP(ROUND(TotalAcreGrazed/Acres22,0),[0]!PastureEffTable,2,)),"")</f>
        <v/>
      </c>
      <c r="M145" s="12" t="str">
        <f>IF(I145="","",K145*L145/100)</f>
        <v/>
      </c>
      <c r="N145" s="12" t="str">
        <f>IF($H145="","",IF(HayMonth22=0,VLOOKUP($H145,FORAGE2,3)*($M145),IF(AND(HayMonth22&gt;0,HayMonth22&lt;1),VLOOKUP($H145,FORAGE2,3)*($M145),0)))</f>
        <v/>
      </c>
      <c r="O145" s="12" t="str">
        <f>IF($H145="","",IF(HayMonth22=0,VLOOKUP($H145,FORAGE2,4)*($M145),IF(AND(HayMonth22&gt;0,HayMonth22&lt;2),VLOOKUP($H145,FORAGE2,4)*($M145),0)))</f>
        <v/>
      </c>
      <c r="P145" s="12" t="str">
        <f>IF($H145="","",IF(HayMonth22=0,VLOOKUP($H145,FORAGE2,5)*($M145),IF(AND(HayMonth22&gt;0,HayMonth22&lt;3),VLOOKUP($H145,FORAGE2,5)*($M145),0)))</f>
        <v/>
      </c>
      <c r="Q145" s="12" t="str">
        <f>IF($H145="","",IF(HayMonth22=0,VLOOKUP($H145,FORAGE2,6)*($M145),IF(AND(HayMonth22&gt;0,HayMonth22&lt;4),VLOOKUP($H145,FORAGE2,6)*($M145),0)))</f>
        <v/>
      </c>
      <c r="R145" s="12" t="str">
        <f>IF($H145="","",IF(HayMonth22=0,VLOOKUP($H145,FORAGE2,7)*($M145),IF(AND(HayMonth22&gt;0,HayMonth22&lt;5),VLOOKUP($H145,FORAGE2,7)*($M145),0)))</f>
        <v/>
      </c>
      <c r="S145" s="12" t="str">
        <f>IF($H145="","",IF(HayMonth22=0,VLOOKUP($H145,FORAGE2,8)*($M145),IF(AND(HayMonth22&gt;0,HayMonth22&lt;6),VLOOKUP($H145,FORAGE2,8)*($M145),0)))</f>
        <v/>
      </c>
      <c r="T145" s="12" t="str">
        <f>IF($H145="","",IF(HayMonth22=0,VLOOKUP($H145,FORAGE2,9)*($M145),IF(AND(HayMonth22&gt;0,HayMonth22&lt;7),VLOOKUP($H145,FORAGE2,9)*($M145),0)))</f>
        <v/>
      </c>
      <c r="U145" s="12" t="str">
        <f>IF($H145="","",IF(HayMonth22=0,VLOOKUP($H145,FORAGE2,10)*($M145),IF(AND(HayMonth22&gt;0,HayMonth22&lt;8),VLOOKUP($H145,FORAGE2,10)*($M145),0)))</f>
        <v/>
      </c>
      <c r="V145" s="12" t="str">
        <f>IF($H145="","",IF(HayMonth22=0,VLOOKUP($H145,FORAGE2,11)*($M145),IF(AND(HayMonth22&gt;0,HayMonth22&lt;9),VLOOKUP($H145,FORAGE2,11)*($M145),0)))</f>
        <v/>
      </c>
      <c r="W145" s="12" t="str">
        <f>IF($H145="","",IF(HayMonth22=0,VLOOKUP($H145,FORAGE2,12)*($M145),IF(AND(HayMonth22&gt;0,HayMonth22&lt;10),VLOOKUP($H145,FORAGE2,12)*($M145),0)))</f>
        <v/>
      </c>
      <c r="X145" s="12" t="str">
        <f>IF($H145="","",IF(HayMonth22=0,VLOOKUP($H145,FORAGE2,13)*($M145),IF(AND(HayMonth22&gt;0,HayMonth22&lt;11),VLOOKUP($H145,FORAGE2,13)*($M145),0)))</f>
        <v/>
      </c>
      <c r="Y145" s="12" t="str">
        <f>IF($H145="","",IF(HayMonth22=0,VLOOKUP($H145,FORAGE2,14)*($M145),IF(AND(HayMonth22&gt;0,HayMonth22&lt;12),VLOOKUP($H145,FORAGE2,14)*($M145),0)))</f>
        <v/>
      </c>
      <c r="Z145" s="347"/>
    </row>
    <row r="146" spans="5:26" ht="15.75" customHeight="1">
      <c r="E146" s="138"/>
      <c r="F146" s="139"/>
      <c r="G146" s="1889"/>
      <c r="H146" s="792"/>
      <c r="I146" s="851" t="str">
        <f>IF(HayMonth22&gt;0,"Hay cut in:","")</f>
        <v/>
      </c>
      <c r="J146" s="852" t="str">
        <f>IF(HayMonth22=0,"",IF(HayMonth22=1,"Jan",IF(HayMonth22=2,"Feb",IF(HayMonth22=3,"Mar",IF(HayMonth22=4,"Apr",IF(HayMonth22=5,"May",IF(HayMonth22=6,"Jun",IF(HayMonth22=7,"Jul",IF(HayMonth22=8,"Aug",IF(HayMonth22=9,"Sep",IF(HayMonth22=10,"Oct",IF(HayMonth22=11,"Nov","Dec"))))))))))))</f>
        <v/>
      </c>
      <c r="K146" s="99"/>
      <c r="L146" s="1009"/>
      <c r="M146" s="89"/>
      <c r="N146" s="89"/>
      <c r="O146" s="89"/>
      <c r="P146" s="89"/>
      <c r="Q146" s="87"/>
      <c r="R146" s="89"/>
      <c r="S146" s="89"/>
      <c r="T146" s="89"/>
      <c r="U146" s="89"/>
      <c r="V146" s="89"/>
      <c r="W146" s="89"/>
      <c r="X146" s="89"/>
      <c r="Y146" s="95"/>
      <c r="Z146" s="347"/>
    </row>
    <row r="147" spans="5:26" ht="16" customHeight="1">
      <c r="E147" s="138"/>
      <c r="F147" s="139"/>
      <c r="G147" s="1888">
        <v>23</v>
      </c>
      <c r="H147" s="176"/>
      <c r="I147" s="34"/>
      <c r="J147" s="9" t="str">
        <f>IF(Kind23="","",VLOOKUP(Kind23,ForageGrowthCurves!$A$6:'ForageGrowthCurves'!$Q$29,17,FALSE))</f>
        <v/>
      </c>
      <c r="K147" s="9" t="str">
        <f>IF(I147="","",I147*J147)</f>
        <v/>
      </c>
      <c r="L147" s="1038" t="str">
        <f>IF(ISBLANK(Acres23)="",(VLOOKUP(ROUND(TotalAcreGrazed/Acres23,0),[0]!PastureEffTable,2,)),"")</f>
        <v/>
      </c>
      <c r="M147" s="12" t="str">
        <f>IF(I147="","",K147*L147/100)</f>
        <v/>
      </c>
      <c r="N147" s="12" t="str">
        <f>IF($H147="","",IF(HayMonth23=0,VLOOKUP($H147,FORAGE2,3)*($M147),IF(AND(HayMonth23&gt;0,HayMonth23&lt;1),VLOOKUP($H147,FORAGE2,3)*($M147),0)))</f>
        <v/>
      </c>
      <c r="O147" s="12" t="str">
        <f>IF($H147="","",IF(HayMonth23=0,VLOOKUP($H147,FORAGE2,4)*($M147),IF(AND(HayMonth23&gt;0,HayMonth23&lt;2),VLOOKUP($H147,FORAGE2,4)*($M147),0)))</f>
        <v/>
      </c>
      <c r="P147" s="12" t="str">
        <f>IF($H147="","",IF(HayMonth23=0,VLOOKUP($H147,FORAGE2,5)*($M147),IF(AND(HayMonth23&gt;0,HayMonth23&lt;3),VLOOKUP($H147,FORAGE2,5)*($M147),0)))</f>
        <v/>
      </c>
      <c r="Q147" s="12" t="str">
        <f>IF($H147="","",IF(HayMonth23=0,VLOOKUP($H147,FORAGE2,6)*($M147),IF(AND(HayMonth23&gt;0,HayMonth23&lt;4),VLOOKUP($H147,FORAGE2,6)*($M147),0)))</f>
        <v/>
      </c>
      <c r="R147" s="12" t="str">
        <f>IF($H147="","",IF(HayMonth23=0,VLOOKUP($H147,FORAGE2,7)*($M147),IF(AND(HayMonth23&gt;0,HayMonth23&lt;5),VLOOKUP($H147,FORAGE2,7)*($M147),0)))</f>
        <v/>
      </c>
      <c r="S147" s="12" t="str">
        <f>IF($H147="","",IF(HayMonth23=0,VLOOKUP($H147,FORAGE2,8)*($M147),IF(AND(HayMonth23&gt;0,HayMonth23&lt;6),VLOOKUP($H147,FORAGE2,8)*($M147),0)))</f>
        <v/>
      </c>
      <c r="T147" s="12" t="str">
        <f>IF($H147="","",IF(HayMonth23=0,VLOOKUP($H147,FORAGE2,9)*($M147),IF(AND(HayMonth23&gt;0,HayMonth23&lt;7),VLOOKUP($H147,FORAGE2,9)*($M147),0)))</f>
        <v/>
      </c>
      <c r="U147" s="12" t="str">
        <f>IF($H147="","",IF(HayMonth23=0,VLOOKUP($H147,FORAGE2,10)*($M147),IF(AND(HayMonth23&gt;0,HayMonth23&lt;8),VLOOKUP($H147,FORAGE2,10)*($M147),0)))</f>
        <v/>
      </c>
      <c r="V147" s="12" t="str">
        <f>IF($H147="","",IF(HayMonth23=0,VLOOKUP($H147,FORAGE2,11)*($M147),IF(AND(HayMonth23&gt;0,HayMonth23&lt;9),VLOOKUP($H147,FORAGE2,11)*($M147),0)))</f>
        <v/>
      </c>
      <c r="W147" s="12" t="str">
        <f>IF($H147="","",IF(HayMonth23=0,VLOOKUP($H147,FORAGE2,12)*($M147),IF(AND(HayMonth23&gt;0,HayMonth23&lt;10),VLOOKUP($H147,FORAGE2,12)*($M147),0)))</f>
        <v/>
      </c>
      <c r="X147" s="12" t="str">
        <f>IF($H147="","",IF(HayMonth23=0,VLOOKUP($H147,FORAGE2,13)*($M147),IF(AND(HayMonth23&gt;0,HayMonth23&lt;11),VLOOKUP($H147,FORAGE2,13)*($M147),0)))</f>
        <v/>
      </c>
      <c r="Y147" s="12" t="str">
        <f>IF($H147="","",IF(HayMonth23=0,VLOOKUP($H147,FORAGE2,14)*($M147),IF(AND(HayMonth23&gt;0,HayMonth23&lt;12),VLOOKUP($H147,FORAGE2,14)*($M147),0)))</f>
        <v/>
      </c>
      <c r="Z147" s="347"/>
    </row>
    <row r="148" spans="5:26" ht="15.75" customHeight="1">
      <c r="E148" s="138"/>
      <c r="F148" s="139"/>
      <c r="G148" s="1889"/>
      <c r="H148" s="792"/>
      <c r="I148" s="851" t="str">
        <f>IF(HayMonth23&gt;0,"Hay cut in:","")</f>
        <v/>
      </c>
      <c r="J148" s="852" t="str">
        <f>IF(HayMonth23=0,"",IF(HayMonth23=1,"Jan",IF(HayMonth23=2,"Feb",IF(HayMonth23=3,"Mar",IF(HayMonth23=4,"Apr",IF(HayMonth23=5,"May",IF(HayMonth23=6,"Jun",IF(HayMonth23=7,"Jul",IF(HayMonth23=8,"Aug",IF(HayMonth23=9,"Sep",IF(HayMonth23=10,"Oct",IF(HayMonth23=11,"Nov","Dec"))))))))))))</f>
        <v/>
      </c>
      <c r="K148" s="99"/>
      <c r="L148" s="1009"/>
      <c r="M148" s="89"/>
      <c r="N148" s="89"/>
      <c r="O148" s="89"/>
      <c r="P148" s="89"/>
      <c r="Q148" s="87"/>
      <c r="R148" s="89"/>
      <c r="S148" s="89"/>
      <c r="T148" s="89"/>
      <c r="U148" s="89"/>
      <c r="V148" s="89"/>
      <c r="W148" s="89"/>
      <c r="X148" s="89"/>
      <c r="Y148" s="95"/>
      <c r="Z148" s="347"/>
    </row>
    <row r="149" spans="5:26" ht="16" customHeight="1">
      <c r="E149" s="138"/>
      <c r="F149" s="139"/>
      <c r="G149" s="1888">
        <v>24</v>
      </c>
      <c r="H149" s="176"/>
      <c r="I149" s="34"/>
      <c r="J149" s="9" t="str">
        <f>IF(Kind24="","",VLOOKUP(Kind24,ForageGrowthCurves!$A$6:'ForageGrowthCurves'!$Q$29,17,FALSE))</f>
        <v/>
      </c>
      <c r="K149" s="9" t="str">
        <f>IF(I149="","",I149*J149)</f>
        <v/>
      </c>
      <c r="L149" s="1038" t="str">
        <f>IF(ISBLANK(Acres24)="",(VLOOKUP(ROUND(TotalAcreGrazed/Acres24,0),[0]!PastureEffTable,2,)),"")</f>
        <v/>
      </c>
      <c r="M149" s="12" t="str">
        <f>IF(I149="","",K149*L149/100)</f>
        <v/>
      </c>
      <c r="N149" s="12" t="str">
        <f>IF($H149="","",IF(HayMonth24=0,VLOOKUP($H149,FORAGE2,3)*($M149),IF(AND(HayMonth24&gt;0,HayMonth24&lt;1),VLOOKUP($H149,FORAGE2,3)*($M149),0)))</f>
        <v/>
      </c>
      <c r="O149" s="12" t="str">
        <f>IF($H149="","",IF(HayMonth24=0,VLOOKUP($H149,FORAGE2,4)*($M149),IF(AND(HayMonth24&gt;0,HayMonth24&lt;2),VLOOKUP($H149,FORAGE2,4)*($M149),0)))</f>
        <v/>
      </c>
      <c r="P149" s="12" t="str">
        <f>IF($H149="","",IF(HayMonth24=0,VLOOKUP($H149,FORAGE2,5)*($M149),IF(AND(HayMonth24&gt;0,HayMonth24&lt;3),VLOOKUP($H149,FORAGE2,5)*($M149),0)))</f>
        <v/>
      </c>
      <c r="Q149" s="12" t="str">
        <f>IF($H149="","",IF(HayMonth24=0,VLOOKUP($H149,FORAGE2,6)*($M149),IF(AND(HayMonth24&gt;0,HayMonth24&lt;4),VLOOKUP($H149,FORAGE2,6)*($M149),0)))</f>
        <v/>
      </c>
      <c r="R149" s="12" t="str">
        <f>IF($H149="","",IF(HayMonth24=0,VLOOKUP($H149,FORAGE2,7)*($M149),IF(AND(HayMonth24&gt;0,HayMonth24&lt;5),VLOOKUP($H149,FORAGE2,7)*($M149),0)))</f>
        <v/>
      </c>
      <c r="S149" s="12" t="str">
        <f>IF($H149="","",IF(HayMonth24=0,VLOOKUP($H149,FORAGE2,8)*($M149),IF(AND(HayMonth24&gt;0,HayMonth24&lt;6),VLOOKUP($H149,FORAGE2,8)*($M149),0)))</f>
        <v/>
      </c>
      <c r="T149" s="12" t="str">
        <f>IF($H149="","",IF(HayMonth24=0,VLOOKUP($H149,FORAGE2,9)*($M149),IF(AND(HayMonth24&gt;0,HayMonth24&lt;7),VLOOKUP($H149,FORAGE2,9)*($M149),0)))</f>
        <v/>
      </c>
      <c r="U149" s="12" t="str">
        <f>IF($H149="","",IF(HayMonth24=0,VLOOKUP($H149,FORAGE2,10)*($M149),IF(AND(HayMonth24&gt;0,HayMonth24&lt;8),VLOOKUP($H149,FORAGE2,10)*($M149),0)))</f>
        <v/>
      </c>
      <c r="V149" s="12" t="str">
        <f>IF($H149="","",IF(HayMonth24=0,VLOOKUP($H149,FORAGE2,11)*($M149),IF(AND(HayMonth24&gt;0,HayMonth24&lt;9),VLOOKUP($H149,FORAGE2,11)*($M149),0)))</f>
        <v/>
      </c>
      <c r="W149" s="12" t="str">
        <f>IF($H149="","",IF(HayMonth24=0,VLOOKUP($H149,FORAGE2,12)*($M149),IF(AND(HayMonth24&gt;0,HayMonth24&lt;10),VLOOKUP($H149,FORAGE2,12)*($M149),0)))</f>
        <v/>
      </c>
      <c r="X149" s="12" t="str">
        <f>IF($H149="","",IF(HayMonth24=0,VLOOKUP($H149,FORAGE2,13)*($M149),IF(AND(HayMonth24&gt;0,HayMonth24&lt;11),VLOOKUP($H149,FORAGE2,13)*($M149),0)))</f>
        <v/>
      </c>
      <c r="Y149" s="12" t="str">
        <f>IF($H149="","",IF(HayMonth24=0,VLOOKUP($H149,FORAGE2,14)*($M149),IF(AND(HayMonth24&gt;0,HayMonth24&lt;12),VLOOKUP($H149,FORAGE2,14)*($M149),0)))</f>
        <v/>
      </c>
      <c r="Z149" s="347"/>
    </row>
    <row r="150" spans="5:26" ht="15.75" customHeight="1">
      <c r="E150" s="138"/>
      <c r="F150" s="139"/>
      <c r="G150" s="1889"/>
      <c r="H150" s="792"/>
      <c r="I150" s="851" t="str">
        <f>IF(HayMonth24&gt;0,"Hay cut in:","")</f>
        <v/>
      </c>
      <c r="J150" s="852" t="str">
        <f>IF(HayMonth24=0,"",IF(HayMonth24=1,"Jan",IF(HayMonth24=2,"Feb",IF(HayMonth24=3,"Mar",IF(HayMonth24=4,"Apr",IF(HayMonth24=5,"May",IF(HayMonth24=6,"Jun",IF(HayMonth24=7,"Jul",IF(HayMonth24=8,"Aug",IF(HayMonth24=9,"Sep",IF(HayMonth24=10,"Oct",IF(HayMonth24=11,"Nov","Dec"))))))))))))</f>
        <v/>
      </c>
      <c r="K150" s="99"/>
      <c r="L150" s="789">
        <v>0</v>
      </c>
      <c r="M150" s="89"/>
      <c r="N150" s="89"/>
      <c r="O150" s="89"/>
      <c r="P150" s="89"/>
      <c r="Q150" s="87"/>
      <c r="R150" s="89"/>
      <c r="S150" s="89"/>
      <c r="T150" s="89"/>
      <c r="U150" s="89"/>
      <c r="V150" s="89"/>
      <c r="W150" s="89"/>
      <c r="X150" s="89"/>
      <c r="Y150" s="95"/>
      <c r="Z150" s="347"/>
    </row>
    <row r="151" spans="5:26" ht="14.25" customHeight="1">
      <c r="E151" s="138"/>
      <c r="F151" s="139"/>
      <c r="G151" s="351"/>
      <c r="H151" s="352"/>
      <c r="I151" s="353"/>
      <c r="J151" s="354"/>
      <c r="K151" s="355"/>
      <c r="L151" s="356"/>
      <c r="M151" s="140"/>
      <c r="N151" s="140"/>
      <c r="O151" s="140"/>
      <c r="P151" s="140"/>
      <c r="Q151" s="140"/>
      <c r="R151" s="140"/>
      <c r="S151" s="140"/>
      <c r="T151" s="140"/>
      <c r="U151" s="140"/>
      <c r="V151" s="140"/>
      <c r="W151" s="140"/>
      <c r="X151" s="140"/>
      <c r="Y151" s="140"/>
      <c r="Z151" s="347"/>
    </row>
    <row r="152" spans="5:26" ht="14.25" customHeight="1">
      <c r="E152" s="138"/>
      <c r="F152" s="139"/>
      <c r="G152" s="351"/>
      <c r="H152" s="179" t="s">
        <v>374</v>
      </c>
      <c r="I152" s="161">
        <f>Acres1+Acres2+Acres3+Acres4+Acres5+Acres6+Acres7+Acres8+Acres9+Acres10+Acres11+Acres12+Acres13+Acres14+Acres15+Acres16+Acres17+Acres18+Acres19+Acres20+Acres21+Acres22+Acres23+Acres24</f>
        <v>0</v>
      </c>
      <c r="J152" s="354"/>
      <c r="K152" s="355"/>
      <c r="L152" s="1672" t="str">
        <f>IF(Efficiency1=0,"",AVERAGE(Efficiency1,Efficiency2,Efficiency3,Efficiency4,Efficiency5,Efficiency6,Efficiency7,Efficiency8,Efficiency9,Efficiency10,Efficiency11,Efficiency12,Efficiency13,Efficiency14,Efficiency15,Efficiency16,Efficiency17,Efficiency18,Efficiency19,Efficiency20,Efficiency21,Efficiency22,Efficiency23,Efficiency24))</f>
        <v/>
      </c>
      <c r="M152" s="1890" t="s">
        <v>3132</v>
      </c>
      <c r="N152" s="1890"/>
      <c r="O152" s="1890"/>
      <c r="P152" s="1890"/>
      <c r="Q152" s="140"/>
      <c r="R152" s="374"/>
      <c r="S152" s="140"/>
      <c r="T152" s="140"/>
      <c r="U152" s="140"/>
      <c r="V152" s="140"/>
      <c r="W152" s="140"/>
      <c r="X152" s="140"/>
      <c r="Y152" s="140"/>
      <c r="Z152" s="347"/>
    </row>
    <row r="153" spans="5:26" ht="27" customHeight="1" thickBot="1">
      <c r="E153" s="939"/>
      <c r="F153" s="940"/>
      <c r="G153" s="940"/>
      <c r="H153" s="941"/>
      <c r="I153" s="940"/>
      <c r="J153" s="942"/>
      <c r="K153" s="940"/>
      <c r="L153" s="940"/>
      <c r="M153" s="940"/>
      <c r="N153" s="940"/>
      <c r="O153" s="940"/>
      <c r="P153" s="940"/>
      <c r="Q153" s="940"/>
      <c r="R153" s="940"/>
      <c r="S153" s="940"/>
      <c r="T153" s="940"/>
      <c r="U153" s="940"/>
      <c r="V153" s="940"/>
      <c r="W153" s="940"/>
      <c r="X153" s="940"/>
      <c r="Y153" s="940"/>
      <c r="Z153" s="943"/>
    </row>
    <row r="154" spans="5:26" ht="16.5" hidden="1" customHeight="1">
      <c r="E154" s="829"/>
      <c r="F154" s="800"/>
      <c r="G154" s="800"/>
      <c r="H154" s="830"/>
      <c r="I154" s="800"/>
      <c r="J154" s="831"/>
      <c r="K154" s="800"/>
      <c r="L154" s="800"/>
      <c r="M154" s="800"/>
      <c r="N154" s="800"/>
      <c r="O154" s="800"/>
      <c r="P154" s="800"/>
      <c r="Q154" s="800"/>
      <c r="R154" s="800"/>
      <c r="S154" s="800"/>
      <c r="T154" s="800"/>
      <c r="U154" s="800"/>
      <c r="V154" s="800"/>
      <c r="W154" s="800"/>
      <c r="X154" s="800"/>
      <c r="Y154" s="800"/>
      <c r="Z154" s="832"/>
    </row>
    <row r="155" spans="5:26" ht="18" hidden="1">
      <c r="E155" s="798"/>
      <c r="F155" s="800"/>
      <c r="G155" s="1895" t="s">
        <v>284</v>
      </c>
      <c r="H155" s="1896"/>
      <c r="I155" s="1896"/>
      <c r="J155" s="1896"/>
      <c r="K155" s="1896"/>
      <c r="L155" s="1896"/>
      <c r="M155" s="1896"/>
      <c r="N155" s="1897"/>
      <c r="O155" s="800"/>
      <c r="P155" s="800"/>
      <c r="Q155" s="800"/>
      <c r="R155" s="833"/>
      <c r="S155" s="800"/>
      <c r="T155" s="800"/>
      <c r="U155" s="800"/>
      <c r="V155" s="800"/>
      <c r="W155" s="800"/>
      <c r="X155" s="800"/>
      <c r="Y155" s="800"/>
      <c r="Z155" s="794"/>
    </row>
    <row r="156" spans="5:26" ht="105.5" hidden="1" customHeight="1">
      <c r="E156" s="798"/>
      <c r="F156" s="800"/>
      <c r="G156" s="1898" t="s">
        <v>721</v>
      </c>
      <c r="H156" s="1899"/>
      <c r="I156" s="1899"/>
      <c r="J156" s="1899"/>
      <c r="K156" s="1899"/>
      <c r="L156" s="1899"/>
      <c r="M156" s="1899"/>
      <c r="N156" s="1900"/>
      <c r="O156" s="800"/>
      <c r="P156" s="800"/>
      <c r="Q156" s="800"/>
      <c r="R156" s="800"/>
      <c r="S156" s="800"/>
      <c r="T156" s="800"/>
      <c r="U156" s="800"/>
      <c r="V156" s="800"/>
      <c r="W156" s="800"/>
      <c r="X156" s="800"/>
      <c r="Y156" s="800"/>
      <c r="Z156" s="794"/>
    </row>
    <row r="157" spans="5:26" ht="23.25" hidden="1" customHeight="1">
      <c r="E157" s="798"/>
      <c r="F157" s="800"/>
      <c r="G157" s="375"/>
      <c r="H157" s="136"/>
      <c r="I157" s="119"/>
      <c r="J157" s="1902" t="s">
        <v>444</v>
      </c>
      <c r="K157" s="119" t="s">
        <v>76</v>
      </c>
      <c r="L157" s="119" t="s">
        <v>116</v>
      </c>
      <c r="M157" s="137"/>
      <c r="N157" s="376" t="s">
        <v>58</v>
      </c>
      <c r="O157" s="800"/>
      <c r="P157" s="800"/>
      <c r="Q157" s="800"/>
      <c r="R157" s="800"/>
      <c r="S157" s="834"/>
      <c r="T157" s="800"/>
      <c r="U157" s="800"/>
      <c r="V157" s="800"/>
      <c r="W157" s="800"/>
      <c r="X157" s="800"/>
      <c r="Y157" s="800"/>
      <c r="Z157" s="794"/>
    </row>
    <row r="158" spans="5:26" hidden="1">
      <c r="E158" s="798"/>
      <c r="F158" s="800"/>
      <c r="G158" s="377" t="s">
        <v>57</v>
      </c>
      <c r="H158" s="15"/>
      <c r="I158" s="108" t="s">
        <v>63</v>
      </c>
      <c r="J158" s="1903"/>
      <c r="K158" s="901" t="s">
        <v>64</v>
      </c>
      <c r="L158" s="108" t="s">
        <v>117</v>
      </c>
      <c r="M158" s="108" t="s">
        <v>286</v>
      </c>
      <c r="N158" s="378" t="s">
        <v>125</v>
      </c>
      <c r="O158" s="800"/>
      <c r="P158" s="800"/>
      <c r="Q158" s="800"/>
      <c r="R158" s="800"/>
      <c r="S158" s="800"/>
      <c r="T158" s="800"/>
      <c r="U158" s="800"/>
      <c r="V158" s="800"/>
      <c r="W158" s="800"/>
      <c r="X158" s="800"/>
      <c r="Y158" s="800"/>
      <c r="Z158" s="794"/>
    </row>
    <row r="159" spans="5:26" ht="24.75" hidden="1" customHeight="1">
      <c r="E159" s="798"/>
      <c r="F159" s="800"/>
      <c r="G159" s="379" t="s">
        <v>670</v>
      </c>
      <c r="H159" s="114" t="s">
        <v>79</v>
      </c>
      <c r="I159" s="114" t="s">
        <v>80</v>
      </c>
      <c r="J159" s="114" t="s">
        <v>283</v>
      </c>
      <c r="K159" s="114" t="s">
        <v>81</v>
      </c>
      <c r="L159" s="114" t="s">
        <v>82</v>
      </c>
      <c r="M159" s="114" t="s">
        <v>81</v>
      </c>
      <c r="N159" s="380" t="s">
        <v>279</v>
      </c>
      <c r="O159" s="800"/>
      <c r="P159" s="831"/>
      <c r="Q159" s="800"/>
      <c r="R159" s="800"/>
      <c r="S159" s="800"/>
      <c r="T159" s="800"/>
      <c r="U159" s="800"/>
      <c r="V159" s="800"/>
      <c r="W159" s="800"/>
      <c r="X159" s="800"/>
      <c r="Y159" s="800"/>
      <c r="Z159" s="794"/>
    </row>
    <row r="160" spans="5:26" hidden="1">
      <c r="E160" s="798"/>
      <c r="F160" s="800"/>
      <c r="G160" s="381">
        <f>Field1</f>
        <v>1</v>
      </c>
      <c r="H160" s="133">
        <f>Kind1</f>
        <v>0</v>
      </c>
      <c r="I160" s="133">
        <f>Acres1</f>
        <v>0</v>
      </c>
      <c r="J160" s="342" t="str">
        <f>Yield1</f>
        <v/>
      </c>
      <c r="K160" s="12" t="e">
        <f>IF(HayMonth2=3,I160*J160*(VLOOKUP(H160,FORAGE2,12)+VLOOKUP(H160,FORAGE2,13)+VLOOKUP(H160,FORAGE2,14)),IF(HayMonth2=4,I160*J160*(VLOOKUP(H160,FORAGE2,12)+VLOOKUP(H160,FORAGE2,13)+VLOOKUP(H160,FORAGE2,14)+VLOOKUP(H160,FORAGE2,3)),IF(HayMonth2=5,I160*J160*(VLOOKUP(H160,FORAGE2,12)+VLOOKUP(H160,FORAGE2,13)+VLOOKUP(H160,FORAGE2,14)+VLOOKUP(H160,FORAGE2,3)+VLOOKUP(H160,FORAGE2,4)),IF(HayMonth2=6,I160*J160*(VLOOKUP(H160,FORAGE2,12)+VLOOKUP(H160,FORAGE2,13)+VLOOKUP(H160,FORAGE2,14)+VLOOKUP(H160,FORAGE2,3)+VLOOKUP(H160,FORAGE2,4)+VLOOKUP(H160,FORAGE2,5)),IF(HayMonth2=7,I160*J160*(VLOOKUP(H160,FORAGE2,12)+VLOOKUP(H160,FORAGE2,13)+VLOOKUP(H160,FORAGE2,14)+VLOOKUP(H160,FORAGE2,3)+VLOOKUP(H160,FORAGE2,4)+VLOOKUP(H160,FORAGE2,5)+VLOOKUP(H160,FORAGE2,6)), IF(HayMonth2=8,I160*J160*(VLOOKUP(H160,FORAGE2,12)+VLOOKUP(H160,FORAGE2,13)+VLOOKUP(H160,FORAGE2,14)+VLOOKUP(H160,FORAGE2,3)+VLOOKUP(H160,FORAGE2,4)+VLOOKUP(H160,FORAGE2,5)+VLOOKUP(H160,FORAGE2,6)+VLOOKUP(H160,FORAGE2,7)),IF(HayMonth2=9,I160*J160*(VLOOKUP(H160,FORAGE2,12)+VLOOKUP(H160,FORAGE2,13)+VLOOKUP(H160,FORAGE2,14)+VLOOKUP(H160,FORAGE2,3)+VLOOKUP(H160,FORAGE2,4)+VLOOKUP(H160,FORAGE2,5)+VLOOKUP(H160,FORAGE2,6)+VLOOKUP(H160,FORAGE2,7)+VLOOKUP(H160,FORAGE2,8)), IF(HayMonth2=10,I160*J160*(VLOOKUP(H160,FORAGE2,12)+VLOOKUP(H160,FORAGE2,13)+VLOOKUP(H160,FORAGE2,14)+VLOOKUP(H160,FORAGE2,3)+VLOOKUP(H160,FORAGE2,4)+VLOOKUP(H160,FORAGE2,5)+VLOOKUP(H160,FORAGE2,6)+VLOOKUP(H160,FORAGE2,7)+VLOOKUP(H160,FORAGE2,8)+VLOOKUP(H160,FORAGE2,9)),I160*J160*(VLOOKUP(H160,FORAGE2,12)+VLOOKUP(H160,FORAGE2,13)+VLOOKUP(H160,FORAGE2,14)+VLOOKUP(H160,FORAGE2,3)+VLOOKUP(H160,FORAGE2,4)+VLOOKUP(H160,FORAGE2,5)+VLOOKUP(H160,FORAGE2,6)+VLOOKUP(H160,FORAGE2,7)+VLOOKUP(H160,FORAGE2,8)+VLOOKUP(H160,FORAGE2,9)+VLOOKUP(H160,FORAGE2,10)+VLOOKUP(H160,FORAGE2,11))))))))))</f>
        <v>#DIV/0!</v>
      </c>
      <c r="L160" s="98"/>
      <c r="M160" s="12" t="e">
        <f>K160*L160</f>
        <v>#DIV/0!</v>
      </c>
      <c r="N160" s="382" t="str">
        <f>IF(H160="","",VLOOKUP(H160,ForageGrowthCurves!$A$6:$P$29,16,FALSE))</f>
        <v/>
      </c>
      <c r="O160" s="800"/>
      <c r="P160" s="831"/>
      <c r="Q160" s="800"/>
      <c r="R160" s="800"/>
      <c r="S160" s="800"/>
      <c r="T160" s="800"/>
      <c r="U160" s="800"/>
      <c r="V160" s="800"/>
      <c r="W160" s="800"/>
      <c r="X160" s="800"/>
      <c r="Y160" s="800"/>
      <c r="Z160" s="794"/>
    </row>
    <row r="161" spans="5:26" hidden="1">
      <c r="E161" s="798"/>
      <c r="F161" s="800"/>
      <c r="G161" s="381">
        <f>Field2</f>
        <v>2</v>
      </c>
      <c r="H161" s="133">
        <f>Kind2</f>
        <v>0</v>
      </c>
      <c r="I161" s="133">
        <f>Acres2</f>
        <v>0</v>
      </c>
      <c r="J161" s="342" t="str">
        <f>Yield2</f>
        <v/>
      </c>
      <c r="K161" s="12" t="e">
        <f>IF(HayMonth2=3,I161*J161*(VLOOKUP(H161,FORAGE2,12)+VLOOKUP(H161,FORAGE2,13)+VLOOKUP(H161,FORAGE2,14)),IF(HayMonth2=4,I161*J161*(VLOOKUP(H161,FORAGE2,12)+VLOOKUP(H161,FORAGE2,13)+VLOOKUP(H161,FORAGE2,14)+VLOOKUP(H161,FORAGE2,3)),IF(HayMonth2=5,I161*J161*(VLOOKUP(H161,FORAGE2,12)+VLOOKUP(H161,FORAGE2,13)+VLOOKUP(H161,FORAGE2,14)+VLOOKUP(H161,FORAGE2,3)+VLOOKUP(H161,FORAGE2,4)),IF(HayMonth2=6,I161*J161*(VLOOKUP(H161,FORAGE2,12)+VLOOKUP(H161,FORAGE2,13)+VLOOKUP(H161,FORAGE2,14)+VLOOKUP(H161,FORAGE2,3)+VLOOKUP(H161,FORAGE2,4)+VLOOKUP(H161,FORAGE2,5)),IF(HayMonth2=7,I161*J161*(VLOOKUP(H161,FORAGE2,12)+VLOOKUP(H161,FORAGE2,13)+VLOOKUP(H161,FORAGE2,14)+VLOOKUP(H161,FORAGE2,3)+VLOOKUP(H161,FORAGE2,4)+VLOOKUP(H161,FORAGE2,5)+VLOOKUP(H161,FORAGE2,6)), IF(HayMonth2=8,I161*J161*(VLOOKUP(H161,FORAGE2,12)+VLOOKUP(H161,FORAGE2,13)+VLOOKUP(H161,FORAGE2,14)+VLOOKUP(H161,FORAGE2,3)+VLOOKUP(H161,FORAGE2,4)+VLOOKUP(H161,FORAGE2,5)+VLOOKUP(H161,FORAGE2,6)+VLOOKUP(H161,FORAGE2,7)),IF(HayMonth2=9,I161*J161*(VLOOKUP(H161,FORAGE2,12)+VLOOKUP(H161,FORAGE2,13)+VLOOKUP(H161,FORAGE2,14)+VLOOKUP(H161,FORAGE2,3)+VLOOKUP(H161,FORAGE2,4)+VLOOKUP(H161,FORAGE2,5)+VLOOKUP(H161,FORAGE2,6)+VLOOKUP(H161,FORAGE2,7)+VLOOKUP(H161,FORAGE2,8)), IF(HayMonth2=10,I161*J161*(VLOOKUP(H161,FORAGE2,12)+VLOOKUP(H161,FORAGE2,13)+VLOOKUP(H161,FORAGE2,14)+VLOOKUP(H161,FORAGE2,3)+VLOOKUP(H161,FORAGE2,4)+VLOOKUP(H161,FORAGE2,5)+VLOOKUP(H161,FORAGE2,6)+VLOOKUP(H161,FORAGE2,7)+VLOOKUP(H161,FORAGE2,8)+VLOOKUP(H161,FORAGE2,9)),I161*J161*(VLOOKUP(H161,FORAGE2,12)+VLOOKUP(H161,FORAGE2,13)+VLOOKUP(H161,FORAGE2,14)+VLOOKUP(H161,FORAGE2,3)+VLOOKUP(H161,FORAGE2,4)+VLOOKUP(H161,FORAGE2,5)+VLOOKUP(H161,FORAGE2,6)+VLOOKUP(H161,FORAGE2,7)+VLOOKUP(H161,FORAGE2,8)+VLOOKUP(H161,FORAGE2,9)+VLOOKUP(H161,FORAGE2,10)+VLOOKUP(H161,FORAGE2,11))))))))))</f>
        <v>#DIV/0!</v>
      </c>
      <c r="L161" s="98"/>
      <c r="M161" s="12" t="e">
        <f t="shared" ref="M161:M183" si="5">K161*L161</f>
        <v>#DIV/0!</v>
      </c>
      <c r="N161" s="382" t="str">
        <f>IF(H161="","",VLOOKUP(H161,ForageGrowthCurves!$A$6:$P$29,16,FALSE))</f>
        <v/>
      </c>
      <c r="O161" s="800"/>
      <c r="P161" s="831"/>
      <c r="Q161" s="800"/>
      <c r="R161" s="800"/>
      <c r="S161" s="800"/>
      <c r="T161" s="800"/>
      <c r="U161" s="800"/>
      <c r="V161" s="800"/>
      <c r="W161" s="800"/>
      <c r="X161" s="800"/>
      <c r="Y161" s="800"/>
      <c r="Z161" s="794"/>
    </row>
    <row r="162" spans="5:26" hidden="1">
      <c r="E162" s="798"/>
      <c r="F162" s="800"/>
      <c r="G162" s="381">
        <f>Field3</f>
        <v>3</v>
      </c>
      <c r="H162" s="133">
        <f>Kind3</f>
        <v>0</v>
      </c>
      <c r="I162" s="133">
        <f>Acres3</f>
        <v>0</v>
      </c>
      <c r="J162" s="342" t="str">
        <f>Yield3</f>
        <v/>
      </c>
      <c r="K162" s="12" t="e">
        <f>IF(HayMonth3=3,I162*J162*(VLOOKUP(H162,FORAGE2,12)+VLOOKUP(H162,FORAGE2,13)+VLOOKUP(H162,FORAGE2,14)),IF(HayMonth3=4,I162*J162*(VLOOKUP(H162,FORAGE2,12)+VLOOKUP(H162,FORAGE2,13)+VLOOKUP(H162,FORAGE2,14)+VLOOKUP(H162,FORAGE2,3)),IF(HayMonth3=5,I162*J162*(VLOOKUP(H162,FORAGE2,12)+VLOOKUP(H162,FORAGE2,13)+VLOOKUP(H162,FORAGE2,14)+VLOOKUP(H162,FORAGE2,3)+VLOOKUP(H162,FORAGE2,4)),IF(HayMonth3=6,I162*J162*(VLOOKUP(H162,FORAGE2,12)+VLOOKUP(H162,FORAGE2,13)+VLOOKUP(H162,FORAGE2,14)+VLOOKUP(H162,FORAGE2,3)+VLOOKUP(H162,FORAGE2,4)+VLOOKUP(H162,FORAGE2,5)),IF(HayMonth3=7,I162*J162*(VLOOKUP(H162,FORAGE2,12)+VLOOKUP(H162,FORAGE2,13)+VLOOKUP(H162,FORAGE2,14)+VLOOKUP(H162,FORAGE2,3)+VLOOKUP(H162,FORAGE2,4)+VLOOKUP(H162,FORAGE2,5)+VLOOKUP(H162,FORAGE2,6)), IF(HayMonth3=8,I162*J162*(VLOOKUP(H162,FORAGE2,12)+VLOOKUP(H162,FORAGE2,13)+VLOOKUP(H162,FORAGE2,14)+VLOOKUP(H162,FORAGE2,3)+VLOOKUP(H162,FORAGE2,4)+VLOOKUP(H162,FORAGE2,5)+VLOOKUP(H162,FORAGE2,6)+VLOOKUP(H162,FORAGE2,7)),IF(HayMonth3=9,I162*J162*(VLOOKUP(H162,FORAGE2,12)+VLOOKUP(H162,FORAGE2,13)+VLOOKUP(H162,FORAGE2,14)+VLOOKUP(H162,FORAGE2,3)+VLOOKUP(H162,FORAGE2,4)+VLOOKUP(H162,FORAGE2,5)+VLOOKUP(H162,FORAGE2,6)+VLOOKUP(H162,FORAGE2,7)+VLOOKUP(H162,FORAGE2,8)), IF(HayMonth3=10,I162*J162*(VLOOKUP(H162,FORAGE2,12)+VLOOKUP(H162,FORAGE2,13)+VLOOKUP(H162,FORAGE2,14)+VLOOKUP(H162,FORAGE2,3)+VLOOKUP(H162,FORAGE2,4)+VLOOKUP(H162,FORAGE2,5)+VLOOKUP(H162,FORAGE2,6)+VLOOKUP(H162,FORAGE2,7)+VLOOKUP(H162,FORAGE2,8)+VLOOKUP(H162,FORAGE2,9)),I162*J162*(VLOOKUP(H162,FORAGE2,12)+VLOOKUP(H162,FORAGE2,13)+VLOOKUP(H162,FORAGE2,14)+VLOOKUP(H162,FORAGE2,3)+VLOOKUP(H162,FORAGE2,4)+VLOOKUP(H162,FORAGE2,5)+VLOOKUP(H162,FORAGE2,6)+VLOOKUP(H162,FORAGE2,7)+VLOOKUP(H162,FORAGE2,8)+VLOOKUP(H162,FORAGE2,9)+VLOOKUP(H162,FORAGE2,10)+VLOOKUP(H162,FORAGE2,11))))))))))</f>
        <v>#DIV/0!</v>
      </c>
      <c r="L162" s="98"/>
      <c r="M162" s="12" t="e">
        <f t="shared" si="5"/>
        <v>#DIV/0!</v>
      </c>
      <c r="N162" s="382" t="str">
        <f>IF(H162="","",VLOOKUP(H162,ForageGrowthCurves!$A$6:$P$29,16,FALSE))</f>
        <v/>
      </c>
      <c r="O162" s="800"/>
      <c r="P162" s="800"/>
      <c r="Q162" s="800"/>
      <c r="R162" s="800"/>
      <c r="S162" s="800"/>
      <c r="T162" s="800"/>
      <c r="U162" s="800"/>
      <c r="V162" s="800"/>
      <c r="W162" s="800"/>
      <c r="X162" s="800"/>
      <c r="Y162" s="800"/>
      <c r="Z162" s="794"/>
    </row>
    <row r="163" spans="5:26" hidden="1">
      <c r="E163" s="798"/>
      <c r="F163" s="800"/>
      <c r="G163" s="383">
        <f>Field4</f>
        <v>4</v>
      </c>
      <c r="H163" s="134">
        <f>Kind4</f>
        <v>0</v>
      </c>
      <c r="I163" s="134">
        <f>Acres4</f>
        <v>0</v>
      </c>
      <c r="J163" s="342" t="str">
        <f>Yield4</f>
        <v/>
      </c>
      <c r="K163" s="12" t="e">
        <f>IF(HayMonth4=3,I163*J163*(VLOOKUP(H163,FORAGE2,12)+VLOOKUP(H163,FORAGE2,13)+VLOOKUP(H163,FORAGE2,14)),IF(HayMonth4=4,I163*J163*(VLOOKUP(H163,FORAGE2,12)+VLOOKUP(H163,FORAGE2,13)+VLOOKUP(H163,FORAGE2,14)+VLOOKUP(H163,FORAGE2,3)),IF(HayMonth4=5,I163*J163*(VLOOKUP(H163,FORAGE2,12)+VLOOKUP(H163,FORAGE2,13)+VLOOKUP(H163,FORAGE2,14)+VLOOKUP(H163,FORAGE2,3)+VLOOKUP(H163,FORAGE2,4)),IF(HayMonth4=6,I163*J163*(VLOOKUP(H163,FORAGE2,12)+VLOOKUP(H163,FORAGE2,13)+VLOOKUP(H163,FORAGE2,14)+VLOOKUP(H163,FORAGE2,3)+VLOOKUP(H163,FORAGE2,4)+VLOOKUP(H163,FORAGE2,5)),IF(HayMonth4=7,I163*J163*(VLOOKUP(H163,FORAGE2,12)+VLOOKUP(H163,FORAGE2,13)+VLOOKUP(H163,FORAGE2,14)+VLOOKUP(H163,FORAGE2,3)+VLOOKUP(H163,FORAGE2,4)+VLOOKUP(H163,FORAGE2,5)+VLOOKUP(H163,FORAGE2,6)), IF(HayMonth4=8,I163*J163*(VLOOKUP(H163,FORAGE2,12)+VLOOKUP(H163,FORAGE2,13)+VLOOKUP(H163,FORAGE2,14)+VLOOKUP(H163,FORAGE2,3)+VLOOKUP(H163,FORAGE2,4)+VLOOKUP(H163,FORAGE2,5)+VLOOKUP(H163,FORAGE2,6)+VLOOKUP(H163,FORAGE2,7)),IF(HayMonth4=9,I163*J163*(VLOOKUP(H163,FORAGE2,12)+VLOOKUP(H163,FORAGE2,13)+VLOOKUP(H163,FORAGE2,14)+VLOOKUP(H163,FORAGE2,3)+VLOOKUP(H163,FORAGE2,4)+VLOOKUP(H163,FORAGE2,5)+VLOOKUP(H163,FORAGE2,6)+VLOOKUP(H163,FORAGE2,7)+VLOOKUP(H163,FORAGE2,8)), IF(HayMonth4=10,I163*J163*(VLOOKUP(H163,FORAGE2,12)+VLOOKUP(H163,FORAGE2,13)+VLOOKUP(H163,FORAGE2,14)+VLOOKUP(H163,FORAGE2,3)+VLOOKUP(H163,FORAGE2,4)+VLOOKUP(H163,FORAGE2,5)+VLOOKUP(H163,FORAGE2,6)+VLOOKUP(H163,FORAGE2,7)+VLOOKUP(H163,FORAGE2,8)+VLOOKUP(H163,FORAGE2,9)),I163*J163*(VLOOKUP(H163,FORAGE2,12)+VLOOKUP(H163,FORAGE2,13)+VLOOKUP(H163,FORAGE2,14)+VLOOKUP(H163,FORAGE2,3)+VLOOKUP(H163,FORAGE2,4)+VLOOKUP(H163,FORAGE2,5)+VLOOKUP(H163,FORAGE2,6)+VLOOKUP(H163,FORAGE2,7)+VLOOKUP(H163,FORAGE2,8)+VLOOKUP(H163,FORAGE2,9)+VLOOKUP(H163,FORAGE2,10)+VLOOKUP(H163,FORAGE2,11))))))))))</f>
        <v>#DIV/0!</v>
      </c>
      <c r="L163" s="98"/>
      <c r="M163" s="12" t="e">
        <f t="shared" si="5"/>
        <v>#DIV/0!</v>
      </c>
      <c r="N163" s="382" t="str">
        <f>IF(H163="","",VLOOKUP(H163,ForageGrowthCurves!$A$6:$P$29,16,FALSE))</f>
        <v/>
      </c>
      <c r="O163" s="800"/>
      <c r="P163" s="800"/>
      <c r="Q163" s="800"/>
      <c r="R163" s="800"/>
      <c r="S163" s="800"/>
      <c r="T163" s="800"/>
      <c r="U163" s="800"/>
      <c r="V163" s="800"/>
      <c r="W163" s="800"/>
      <c r="X163" s="800"/>
      <c r="Y163" s="800"/>
      <c r="Z163" s="794"/>
    </row>
    <row r="164" spans="5:26" hidden="1">
      <c r="E164" s="798"/>
      <c r="F164" s="800"/>
      <c r="G164" s="381">
        <f>Field5</f>
        <v>5</v>
      </c>
      <c r="H164" s="134">
        <f>Kind5</f>
        <v>0</v>
      </c>
      <c r="I164" s="135">
        <f>Acres5</f>
        <v>0</v>
      </c>
      <c r="J164" s="342" t="str">
        <f>Yield5</f>
        <v/>
      </c>
      <c r="K164" s="12" t="e">
        <f>IF(HayMonth5=3,I164*J164*(VLOOKUP(H164,FORAGE2,12)+VLOOKUP(H164,FORAGE2,13)+VLOOKUP(H164,FORAGE2,14)),IF(HayMonth5=4,I164*J164*(VLOOKUP(H164,FORAGE2,12)+VLOOKUP(H164,FORAGE2,13)+VLOOKUP(H164,FORAGE2,14)+VLOOKUP(H164,FORAGE2,3)),IF(HayMonth5=5,I164*J164*(VLOOKUP(H164,FORAGE2,12)+VLOOKUP(H164,FORAGE2,13)+VLOOKUP(H164,FORAGE2,14)+VLOOKUP(H164,FORAGE2,3)+VLOOKUP(H164,FORAGE2,4)),IF(HayMonth5=6,I164*J164*(VLOOKUP(H164,FORAGE2,12)+VLOOKUP(H164,FORAGE2,13)+VLOOKUP(H164,FORAGE2,14)+VLOOKUP(H164,FORAGE2,3)+VLOOKUP(H164,FORAGE2,4)+VLOOKUP(H164,FORAGE2,5)),IF(HayMonth5=7,I164*J164*(VLOOKUP(H164,FORAGE2,12)+VLOOKUP(H164,FORAGE2,13)+VLOOKUP(H164,FORAGE2,14)+VLOOKUP(H164,FORAGE2,3)+VLOOKUP(H164,FORAGE2,4)+VLOOKUP(H164,FORAGE2,5)+VLOOKUP(H164,FORAGE2,6)), IF(HayMonth5=8,I164*J164*(VLOOKUP(H164,FORAGE2,12)+VLOOKUP(H164,FORAGE2,13)+VLOOKUP(H164,FORAGE2,14)+VLOOKUP(H164,FORAGE2,3)+VLOOKUP(H164,FORAGE2,4)+VLOOKUP(H164,FORAGE2,5)+VLOOKUP(H164,FORAGE2,6)+VLOOKUP(H164,FORAGE2,7)),IF(HayMonth5=9,I164*J164*(VLOOKUP(H164,FORAGE2,12)+VLOOKUP(H164,FORAGE2,13)+VLOOKUP(H164,FORAGE2,14)+VLOOKUP(H164,FORAGE2,3)+VLOOKUP(H164,FORAGE2,4)+VLOOKUP(H164,FORAGE2,5)+VLOOKUP(H164,FORAGE2,6)+VLOOKUP(H164,FORAGE2,7)+VLOOKUP(H164,FORAGE2,8)), IF(HayMonth5=10,I164*J164*(VLOOKUP(H164,FORAGE2,12)+VLOOKUP(H164,FORAGE2,13)+VLOOKUP(H164,FORAGE2,14)+VLOOKUP(H164,FORAGE2,3)+VLOOKUP(H164,FORAGE2,4)+VLOOKUP(H164,FORAGE2,5)+VLOOKUP(H164,FORAGE2,6)+VLOOKUP(H164,FORAGE2,7)+VLOOKUP(H164,FORAGE2,8)+VLOOKUP(H164,FORAGE2,9)),I164*J164*(VLOOKUP(H164,FORAGE2,12)+VLOOKUP(H164,FORAGE2,13)+VLOOKUP(H164,FORAGE2,14)+VLOOKUP(H164,FORAGE2,3)+VLOOKUP(H164,FORAGE2,4)+VLOOKUP(H164,FORAGE2,5)+VLOOKUP(H164,FORAGE2,6)+VLOOKUP(H164,FORAGE2,7)+VLOOKUP(H164,FORAGE2,8)+VLOOKUP(H164,FORAGE2,9)+VLOOKUP(H164,FORAGE2,10)+VLOOKUP(H164,FORAGE2,11))))))))))</f>
        <v>#DIV/0!</v>
      </c>
      <c r="L164" s="98"/>
      <c r="M164" s="12" t="e">
        <f t="shared" si="5"/>
        <v>#DIV/0!</v>
      </c>
      <c r="N164" s="382" t="str">
        <f>IF(H164="","",VLOOKUP(H164,ForageGrowthCurves!$A$6:$P$29,16,FALSE))</f>
        <v/>
      </c>
      <c r="O164" s="800"/>
      <c r="P164" s="800"/>
      <c r="Q164" s="800"/>
      <c r="R164" s="800"/>
      <c r="S164" s="800"/>
      <c r="T164" s="800"/>
      <c r="U164" s="800"/>
      <c r="V164" s="800"/>
      <c r="W164" s="800"/>
      <c r="X164" s="800"/>
      <c r="Y164" s="800"/>
      <c r="Z164" s="794"/>
    </row>
    <row r="165" spans="5:26" hidden="1">
      <c r="E165" s="798"/>
      <c r="F165" s="800"/>
      <c r="G165" s="383">
        <f>Field6</f>
        <v>6</v>
      </c>
      <c r="H165" s="134">
        <f>Kind6</f>
        <v>0</v>
      </c>
      <c r="I165" s="135">
        <f>Acres6</f>
        <v>0</v>
      </c>
      <c r="J165" s="342" t="str">
        <f>Yield6</f>
        <v/>
      </c>
      <c r="K165" s="12" t="e">
        <f>IF(HayMonth6=3,I165*J165*(VLOOKUP(H165,FORAGE2,12)+VLOOKUP(H165,FORAGE2,13)+VLOOKUP(H165,FORAGE2,14)),IF(HayMonth6=4,I165*J165*(VLOOKUP(H165,FORAGE2,12)+VLOOKUP(H165,FORAGE2,13)+VLOOKUP(H165,FORAGE2,14)+VLOOKUP(H165,FORAGE2,3)),IF(HayMonth6=5,I165*J165*(VLOOKUP(H165,FORAGE2,12)+VLOOKUP(H165,FORAGE2,13)+VLOOKUP(H165,FORAGE2,14)+VLOOKUP(H165,FORAGE2,3)+VLOOKUP(H165,FORAGE2,4)),IF(HayMonth6=6,I165*J165*(VLOOKUP(H165,FORAGE2,12)+VLOOKUP(H165,FORAGE2,13)+VLOOKUP(H165,FORAGE2,14)+VLOOKUP(H165,FORAGE2,3)+VLOOKUP(H165,FORAGE2,4)+VLOOKUP(H165,FORAGE2,5)),IF(HayMonth6=7,I165*J165*(VLOOKUP(H165,FORAGE2,12)+VLOOKUP(H165,FORAGE2,13)+VLOOKUP(H165,FORAGE2,14)+VLOOKUP(H165,FORAGE2,3)+VLOOKUP(H165,FORAGE2,4)+VLOOKUP(H165,FORAGE2,5)+VLOOKUP(H165,FORAGE2,6)), IF(HayMonth6=8,I165*J165*(VLOOKUP(H165,FORAGE2,12)+VLOOKUP(H165,FORAGE2,13)+VLOOKUP(H165,FORAGE2,14)+VLOOKUP(H165,FORAGE2,3)+VLOOKUP(H165,FORAGE2,4)+VLOOKUP(H165,FORAGE2,5)+VLOOKUP(H165,FORAGE2,6)+VLOOKUP(H165,FORAGE2,7)),IF(HayMonth6=9,I165*J165*(VLOOKUP(H165,FORAGE2,12)+VLOOKUP(H165,FORAGE2,13)+VLOOKUP(H165,FORAGE2,14)+VLOOKUP(H165,FORAGE2,3)+VLOOKUP(H165,FORAGE2,4)+VLOOKUP(H165,FORAGE2,5)+VLOOKUP(H165,FORAGE2,6)+VLOOKUP(H165,FORAGE2,7)+VLOOKUP(H165,FORAGE2,8)), IF(HayMonth6=10,I165*J165*(VLOOKUP(H165,FORAGE2,12)+VLOOKUP(H165,FORAGE2,13)+VLOOKUP(H165,FORAGE2,14)+VLOOKUP(H165,FORAGE2,3)+VLOOKUP(H165,FORAGE2,4)+VLOOKUP(H165,FORAGE2,5)+VLOOKUP(H165,FORAGE2,6)+VLOOKUP(H165,FORAGE2,7)+VLOOKUP(H165,FORAGE2,8)+VLOOKUP(H165,FORAGE2,9)),I165*J165*(VLOOKUP(H165,FORAGE2,12)+VLOOKUP(H165,FORAGE2,13)+VLOOKUP(H165,FORAGE2,14)+VLOOKUP(H165,FORAGE2,3)+VLOOKUP(H165,FORAGE2,4)+VLOOKUP(H165,FORAGE2,5)+VLOOKUP(H165,FORAGE2,6)+VLOOKUP(H165,FORAGE2,7)+VLOOKUP(H165,FORAGE2,8)+VLOOKUP(H165,FORAGE2,9)+VLOOKUP(H165,FORAGE2,10)+VLOOKUP(H165,FORAGE2,11))))))))))</f>
        <v>#DIV/0!</v>
      </c>
      <c r="L165" s="98"/>
      <c r="M165" s="12" t="e">
        <f t="shared" si="5"/>
        <v>#DIV/0!</v>
      </c>
      <c r="N165" s="382" t="str">
        <f>IF(H165="","",VLOOKUP(H165,ForageGrowthCurves!$A$6:$P$29,16,FALSE))</f>
        <v/>
      </c>
      <c r="O165" s="831"/>
      <c r="P165" s="800"/>
      <c r="Q165" s="800"/>
      <c r="R165" s="800"/>
      <c r="S165" s="800"/>
      <c r="T165" s="800"/>
      <c r="U165" s="800"/>
      <c r="V165" s="800"/>
      <c r="W165" s="800"/>
      <c r="X165" s="800"/>
      <c r="Y165" s="800"/>
      <c r="Z165" s="794"/>
    </row>
    <row r="166" spans="5:26" hidden="1">
      <c r="E166" s="798"/>
      <c r="F166" s="800"/>
      <c r="G166" s="383">
        <f>Field7</f>
        <v>7</v>
      </c>
      <c r="H166" s="134">
        <f>Kind7</f>
        <v>0</v>
      </c>
      <c r="I166" s="135">
        <f>Acres7</f>
        <v>0</v>
      </c>
      <c r="J166" s="342" t="str">
        <f>Yield7</f>
        <v/>
      </c>
      <c r="K166" s="12" t="e">
        <f>IF(HayMonth7=3,I166*J166*(VLOOKUP(H166,FORAGE2,12)+VLOOKUP(H166,FORAGE2,13)+VLOOKUP(H166,FORAGE2,14)),IF(HayMonth7=4,I166*J166*(VLOOKUP(H166,FORAGE2,12)+VLOOKUP(H166,FORAGE2,13)+VLOOKUP(H166,FORAGE2,14)+VLOOKUP(H166,FORAGE2,3)),IF(HayMonth7=5,I166*J166*(VLOOKUP(H166,FORAGE2,12)+VLOOKUP(H166,FORAGE2,13)+VLOOKUP(H166,FORAGE2,14)+VLOOKUP(H166,FORAGE2,3)+VLOOKUP(H166,FORAGE2,4)),IF(HayMonth7=6,I166*J166*(VLOOKUP(H166,FORAGE2,12)+VLOOKUP(H166,FORAGE2,13)+VLOOKUP(H166,FORAGE2,14)+VLOOKUP(H166,FORAGE2,3)+VLOOKUP(H166,FORAGE2,4)+VLOOKUP(H166,FORAGE2,5)),IF(HayMonth7=7,I166*J166*(VLOOKUP(H166,FORAGE2,12)+VLOOKUP(H166,FORAGE2,13)+VLOOKUP(H166,FORAGE2,14)+VLOOKUP(H166,FORAGE2,3)+VLOOKUP(H166,FORAGE2,4)+VLOOKUP(H166,FORAGE2,5)+VLOOKUP(H166,FORAGE2,6)), IF(HayMonth7=8,I166*J166*(VLOOKUP(H166,FORAGE2,12)+VLOOKUP(H166,FORAGE2,13)+VLOOKUP(H166,FORAGE2,14)+VLOOKUP(H166,FORAGE2,3)+VLOOKUP(H166,FORAGE2,4)+VLOOKUP(H166,FORAGE2,5)+VLOOKUP(H166,FORAGE2,6)+VLOOKUP(H166,FORAGE2,7)),IF(HayMonth7=9,I166*J166*(VLOOKUP(H166,FORAGE2,12)+VLOOKUP(H166,FORAGE2,13)+VLOOKUP(H166,FORAGE2,14)+VLOOKUP(H166,FORAGE2,3)+VLOOKUP(H166,FORAGE2,4)+VLOOKUP(H166,FORAGE2,5)+VLOOKUP(H166,FORAGE2,6)+VLOOKUP(H166,FORAGE2,7)+VLOOKUP(H166,FORAGE2,8)), IF(HayMonth7=10,I166*J166*(VLOOKUP(H166,FORAGE2,12)+VLOOKUP(H166,FORAGE2,13)+VLOOKUP(H166,FORAGE2,14)+VLOOKUP(H166,FORAGE2,3)+VLOOKUP(H166,FORAGE2,4)+VLOOKUP(H166,FORAGE2,5)+VLOOKUP(H166,FORAGE2,6)+VLOOKUP(H166,FORAGE2,7)+VLOOKUP(H166,FORAGE2,8)+VLOOKUP(H166,FORAGE2,9)),I166*J166*(VLOOKUP(H166,FORAGE2,12)+VLOOKUP(H166,FORAGE2,13)+VLOOKUP(H166,FORAGE2,14)+VLOOKUP(H166,FORAGE2,3)+VLOOKUP(H166,FORAGE2,4)+VLOOKUP(H166,FORAGE2,5)+VLOOKUP(H166,FORAGE2,6)+VLOOKUP(H166,FORAGE2,7)+VLOOKUP(H166,FORAGE2,8)+VLOOKUP(H166,FORAGE2,9)+VLOOKUP(H166,FORAGE2,10)+VLOOKUP(H166,FORAGE2,11))))))))))</f>
        <v>#DIV/0!</v>
      </c>
      <c r="L166" s="98"/>
      <c r="M166" s="12" t="e">
        <f t="shared" si="5"/>
        <v>#DIV/0!</v>
      </c>
      <c r="N166" s="382" t="str">
        <f>IF(H166="","",VLOOKUP(H166,ForageGrowthCurves!$A$6:$P$29,16,FALSE))</f>
        <v/>
      </c>
      <c r="O166" s="800"/>
      <c r="P166" s="800"/>
      <c r="Q166" s="800"/>
      <c r="R166" s="800"/>
      <c r="S166" s="800"/>
      <c r="T166" s="800"/>
      <c r="U166" s="800"/>
      <c r="V166" s="800"/>
      <c r="W166" s="800"/>
      <c r="X166" s="800"/>
      <c r="Y166" s="800"/>
      <c r="Z166" s="794"/>
    </row>
    <row r="167" spans="5:26" hidden="1">
      <c r="E167" s="798"/>
      <c r="F167" s="800"/>
      <c r="G167" s="383">
        <f>Field8</f>
        <v>8</v>
      </c>
      <c r="H167" s="134">
        <f>Kind8</f>
        <v>0</v>
      </c>
      <c r="I167" s="135">
        <f>Acres8</f>
        <v>0</v>
      </c>
      <c r="J167" s="342" t="str">
        <f>Yield8</f>
        <v/>
      </c>
      <c r="K167" s="12" t="e">
        <f>IF(HayMonth8=3,I167*J167*(VLOOKUP(H167,FORAGE2,12)+VLOOKUP(H167,FORAGE2,13)+VLOOKUP(H167,FORAGE2,14)),IF(HayMonth8=4,I167*J167*(VLOOKUP(H167,FORAGE2,12)+VLOOKUP(H167,FORAGE2,13)+VLOOKUP(H167,FORAGE2,14)+VLOOKUP(H167,FORAGE2,3)),IF(HayMonth8=5,I167*J167*(VLOOKUP(H167,FORAGE2,12)+VLOOKUP(H167,FORAGE2,13)+VLOOKUP(H167,FORAGE2,14)+VLOOKUP(H167,FORAGE2,3)+VLOOKUP(H167,FORAGE2,4)),IF(HayMonth8=6,I167*J167*(VLOOKUP(H167,FORAGE2,12)+VLOOKUP(H167,FORAGE2,13)+VLOOKUP(H167,FORAGE2,14)+VLOOKUP(H167,FORAGE2,3)+VLOOKUP(H167,FORAGE2,4)+VLOOKUP(H167,FORAGE2,5)),IF(HayMonth8=7,I167*J167*(VLOOKUP(H167,FORAGE2,12)+VLOOKUP(H167,FORAGE2,13)+VLOOKUP(H167,FORAGE2,14)+VLOOKUP(H167,FORAGE2,3)+VLOOKUP(H167,FORAGE2,4)+VLOOKUP(H167,FORAGE2,5)+VLOOKUP(H167,FORAGE2,6)), IF(HayMonth8=8,I167*J167*(VLOOKUP(H167,FORAGE2,12)+VLOOKUP(H167,FORAGE2,13)+VLOOKUP(H167,FORAGE2,14)+VLOOKUP(H167,FORAGE2,3)+VLOOKUP(H167,FORAGE2,4)+VLOOKUP(H167,FORAGE2,5)+VLOOKUP(H167,FORAGE2,6)+VLOOKUP(H167,FORAGE2,7)),IF(HayMonth8=9,I167*J167*(VLOOKUP(H167,FORAGE2,12)+VLOOKUP(H167,FORAGE2,13)+VLOOKUP(H167,FORAGE2,14)+VLOOKUP(H167,FORAGE2,3)+VLOOKUP(H167,FORAGE2,4)+VLOOKUP(H167,FORAGE2,5)+VLOOKUP(H167,FORAGE2,6)+VLOOKUP(H167,FORAGE2,7)+VLOOKUP(H167,FORAGE2,8)), IF(HayMonth8=10,I167*J167*(VLOOKUP(H167,FORAGE2,12)+VLOOKUP(H167,FORAGE2,13)+VLOOKUP(H167,FORAGE2,14)+VLOOKUP(H167,FORAGE2,3)+VLOOKUP(H167,FORAGE2,4)+VLOOKUP(H167,FORAGE2,5)+VLOOKUP(H167,FORAGE2,6)+VLOOKUP(H167,FORAGE2,7)+VLOOKUP(H167,FORAGE2,8)+VLOOKUP(H167,FORAGE2,9)),I167*J167*(VLOOKUP(H167,FORAGE2,12)+VLOOKUP(H167,FORAGE2,13)+VLOOKUP(H167,FORAGE2,14)+VLOOKUP(H167,FORAGE2,3)+VLOOKUP(H167,FORAGE2,4)+VLOOKUP(H167,FORAGE2,5)+VLOOKUP(H167,FORAGE2,6)+VLOOKUP(H167,FORAGE2,7)+VLOOKUP(H167,FORAGE2,8)+VLOOKUP(H167,FORAGE2,9)+VLOOKUP(H167,FORAGE2,10)+VLOOKUP(H167,FORAGE2,11))))))))))</f>
        <v>#DIV/0!</v>
      </c>
      <c r="L167" s="98"/>
      <c r="M167" s="12" t="e">
        <f t="shared" si="5"/>
        <v>#DIV/0!</v>
      </c>
      <c r="N167" s="382" t="str">
        <f>IF(H167="","",VLOOKUP(H167,ForageGrowthCurves!$A$6:$P$29,16,FALSE))</f>
        <v/>
      </c>
      <c r="O167" s="800"/>
      <c r="P167" s="800"/>
      <c r="Q167" s="800"/>
      <c r="R167" s="800"/>
      <c r="S167" s="800"/>
      <c r="T167" s="800"/>
      <c r="U167" s="800"/>
      <c r="V167" s="800"/>
      <c r="W167" s="800"/>
      <c r="X167" s="800"/>
      <c r="Y167" s="800"/>
      <c r="Z167" s="794"/>
    </row>
    <row r="168" spans="5:26" hidden="1">
      <c r="E168" s="798"/>
      <c r="F168" s="800"/>
      <c r="G168" s="383">
        <f>Field9</f>
        <v>9</v>
      </c>
      <c r="H168" s="134">
        <f>Kind9</f>
        <v>0</v>
      </c>
      <c r="I168" s="135">
        <f>Acres9</f>
        <v>0</v>
      </c>
      <c r="J168" s="342" t="str">
        <f>Yield9</f>
        <v/>
      </c>
      <c r="K168" s="12" t="e">
        <f>IF(HayMonth9=3,I168*J168*(VLOOKUP(H168,FORAGE2,12)+VLOOKUP(H168,FORAGE2,13)+VLOOKUP(H168,FORAGE2,14)),IF(HayMonth9=4,I168*J168*(VLOOKUP(H168,FORAGE2,12)+VLOOKUP(H168,FORAGE2,13)+VLOOKUP(H168,FORAGE2,14)+VLOOKUP(H168,FORAGE2,3)),IF(HayMonth9=5,I168*J168*(VLOOKUP(H168,FORAGE2,12)+VLOOKUP(H168,FORAGE2,13)+VLOOKUP(H168,FORAGE2,14)+VLOOKUP(H168,FORAGE2,3)+VLOOKUP(H168,FORAGE2,4)),IF(HayMonth9=6,I168*J168*(VLOOKUP(H168,FORAGE2,12)+VLOOKUP(H168,FORAGE2,13)+VLOOKUP(H168,FORAGE2,14)+VLOOKUP(H168,FORAGE2,3)+VLOOKUP(H168,FORAGE2,4)+VLOOKUP(H168,FORAGE2,5)),IF(HayMonth9=7,I168*J168*(VLOOKUP(H168,FORAGE2,12)+VLOOKUP(H168,FORAGE2,13)+VLOOKUP(H168,FORAGE2,14)+VLOOKUP(H168,FORAGE2,3)+VLOOKUP(H168,FORAGE2,4)+VLOOKUP(H168,FORAGE2,5)+VLOOKUP(H168,FORAGE2,6)), IF(HayMonth9=8,I168*J168*(VLOOKUP(H168,FORAGE2,12)+VLOOKUP(H168,FORAGE2,13)+VLOOKUP(H168,FORAGE2,14)+VLOOKUP(H168,FORAGE2,3)+VLOOKUP(H168,FORAGE2,4)+VLOOKUP(H168,FORAGE2,5)+VLOOKUP(H168,FORAGE2,6)+VLOOKUP(H168,FORAGE2,7)),IF(HayMonth9=9,I168*J168*(VLOOKUP(H168,FORAGE2,12)+VLOOKUP(H168,FORAGE2,13)+VLOOKUP(H168,FORAGE2,14)+VLOOKUP(H168,FORAGE2,3)+VLOOKUP(H168,FORAGE2,4)+VLOOKUP(H168,FORAGE2,5)+VLOOKUP(H168,FORAGE2,6)+VLOOKUP(H168,FORAGE2,7)+VLOOKUP(H168,FORAGE2,8)), IF(HayMonth9=10,I168*J168*(VLOOKUP(H168,FORAGE2,12)+VLOOKUP(H168,FORAGE2,13)+VLOOKUP(H168,FORAGE2,14)+VLOOKUP(H168,FORAGE2,3)+VLOOKUP(H168,FORAGE2,4)+VLOOKUP(H168,FORAGE2,5)+VLOOKUP(H168,FORAGE2,6)+VLOOKUP(H168,FORAGE2,7)+VLOOKUP(H168,FORAGE2,8)+VLOOKUP(H168,FORAGE2,9)),I168*J168*(VLOOKUP(H168,FORAGE2,12)+VLOOKUP(H168,FORAGE2,13)+VLOOKUP(H168,FORAGE2,14)+VLOOKUP(H168,FORAGE2,3)+VLOOKUP(H168,FORAGE2,4)+VLOOKUP(H168,FORAGE2,5)+VLOOKUP(H168,FORAGE2,6)+VLOOKUP(H168,FORAGE2,7)+VLOOKUP(H168,FORAGE2,8)+VLOOKUP(H168,FORAGE2,9)+VLOOKUP(H168,FORAGE2,10)+VLOOKUP(H168,FORAGE2,11))))))))))</f>
        <v>#DIV/0!</v>
      </c>
      <c r="L168" s="98"/>
      <c r="M168" s="12" t="e">
        <f t="shared" si="5"/>
        <v>#DIV/0!</v>
      </c>
      <c r="N168" s="382" t="str">
        <f>IF(H168="","",VLOOKUP(H168,ForageGrowthCurves!$A$6:$P$29,16,FALSE))</f>
        <v/>
      </c>
      <c r="O168" s="800"/>
      <c r="P168" s="800"/>
      <c r="Q168" s="800"/>
      <c r="R168" s="800"/>
      <c r="S168" s="800"/>
      <c r="T168" s="800"/>
      <c r="U168" s="800"/>
      <c r="V168" s="800"/>
      <c r="W168" s="800"/>
      <c r="X168" s="800"/>
      <c r="Y168" s="800"/>
      <c r="Z168" s="794"/>
    </row>
    <row r="169" spans="5:26" hidden="1">
      <c r="E169" s="798"/>
      <c r="F169" s="800"/>
      <c r="G169" s="383">
        <f>Field10</f>
        <v>10</v>
      </c>
      <c r="H169" s="134">
        <f>Kind10</f>
        <v>0</v>
      </c>
      <c r="I169" s="135">
        <f>Acres10</f>
        <v>0</v>
      </c>
      <c r="J169" s="342" t="str">
        <f>Yield10</f>
        <v/>
      </c>
      <c r="K169" s="12" t="e">
        <f>IF(HayMonth10=3,I169*J169*(VLOOKUP(H169,FORAGE2,12)+VLOOKUP(H169,FORAGE2,13)+VLOOKUP(H169,FORAGE2,14)),IF(HayMonth10=4,I169*J169*(VLOOKUP(H169,FORAGE2,12)+VLOOKUP(H169,FORAGE2,13)+VLOOKUP(H169,FORAGE2,14)+VLOOKUP(H169,FORAGE2,3)),IF(HayMonth10=5,I169*J169*(VLOOKUP(H169,FORAGE2,12)+VLOOKUP(H169,FORAGE2,13)+VLOOKUP(H169,FORAGE2,14)+VLOOKUP(H169,FORAGE2,3)+VLOOKUP(H169,FORAGE2,4)),IF(HayMonth10=6,I169*J169*(VLOOKUP(H169,FORAGE2,12)+VLOOKUP(H169,FORAGE2,13)+VLOOKUP(H169,FORAGE2,14)+VLOOKUP(H169,FORAGE2,3)+VLOOKUP(H169,FORAGE2,4)+VLOOKUP(H169,FORAGE2,5)),IF(HayMonth10=7,I169*J169*(VLOOKUP(H169,FORAGE2,12)+VLOOKUP(H169,FORAGE2,13)+VLOOKUP(H169,FORAGE2,14)+VLOOKUP(H169,FORAGE2,3)+VLOOKUP(H169,FORAGE2,4)+VLOOKUP(H169,FORAGE2,5)+VLOOKUP(H169,FORAGE2,6)), IF(HayMonth10=8,I169*J169*(VLOOKUP(H169,FORAGE2,12)+VLOOKUP(H169,FORAGE2,13)+VLOOKUP(H169,FORAGE2,14)+VLOOKUP(H169,FORAGE2,3)+VLOOKUP(H169,FORAGE2,4)+VLOOKUP(H169,FORAGE2,5)+VLOOKUP(H169,FORAGE2,6)+VLOOKUP(H169,FORAGE2,7)),IF(HayMonth10=9,I169*J169*(VLOOKUP(H169,FORAGE2,12)+VLOOKUP(H169,FORAGE2,13)+VLOOKUP(H169,FORAGE2,14)+VLOOKUP(H169,FORAGE2,3)+VLOOKUP(H169,FORAGE2,4)+VLOOKUP(H169,FORAGE2,5)+VLOOKUP(H169,FORAGE2,6)+VLOOKUP(H169,FORAGE2,7)+VLOOKUP(H169,FORAGE2,8)), IF(HayMonth10=10,I169*J169*(VLOOKUP(H169,FORAGE2,12)+VLOOKUP(H169,FORAGE2,13)+VLOOKUP(H169,FORAGE2,14)+VLOOKUP(H169,FORAGE2,3)+VLOOKUP(H169,FORAGE2,4)+VLOOKUP(H169,FORAGE2,5)+VLOOKUP(H169,FORAGE2,6)+VLOOKUP(H169,FORAGE2,7)+VLOOKUP(H169,FORAGE2,8)+VLOOKUP(H169,FORAGE2,9)),I169*J169*(VLOOKUP(H169,FORAGE2,12)+VLOOKUP(H169,FORAGE2,13)+VLOOKUP(H169,FORAGE2,14)+VLOOKUP(H169,FORAGE2,3)+VLOOKUP(H169,FORAGE2,4)+VLOOKUP(H169,FORAGE2,5)+VLOOKUP(H169,FORAGE2,6)+VLOOKUP(H169,FORAGE2,7)+VLOOKUP(H169,FORAGE2,8)+VLOOKUP(H169,FORAGE2,9)+VLOOKUP(H169,FORAGE2,10)+VLOOKUP(H169,FORAGE2,11))))))))))</f>
        <v>#DIV/0!</v>
      </c>
      <c r="L169" s="98"/>
      <c r="M169" s="12" t="e">
        <f t="shared" si="5"/>
        <v>#DIV/0!</v>
      </c>
      <c r="N169" s="382" t="str">
        <f>IF(H169="","",VLOOKUP(H169,ForageGrowthCurves!$A$6:$P$29,16,FALSE))</f>
        <v/>
      </c>
      <c r="O169" s="800"/>
      <c r="P169" s="800"/>
      <c r="Q169" s="800"/>
      <c r="R169" s="800"/>
      <c r="S169" s="800"/>
      <c r="T169" s="800"/>
      <c r="U169" s="800"/>
      <c r="V169" s="800"/>
      <c r="W169" s="800"/>
      <c r="X169" s="800"/>
      <c r="Y169" s="800"/>
      <c r="Z169" s="794"/>
    </row>
    <row r="170" spans="5:26" hidden="1">
      <c r="E170" s="798"/>
      <c r="F170" s="800"/>
      <c r="G170" s="383">
        <f>Field11</f>
        <v>11</v>
      </c>
      <c r="H170" s="134">
        <f>Kind11</f>
        <v>0</v>
      </c>
      <c r="I170" s="135">
        <f>Acres11</f>
        <v>0</v>
      </c>
      <c r="J170" s="342" t="str">
        <f>Yield11</f>
        <v/>
      </c>
      <c r="K170" s="12" t="e">
        <f>IF(HayMonth11=3,I170*J170*(VLOOKUP(H170,FORAGE2,12)+VLOOKUP(H170,FORAGE2,13)+VLOOKUP(H170,FORAGE2,14)),IF(HayMonth11=4,I170*J170*(VLOOKUP(H170,FORAGE2,12)+VLOOKUP(H170,FORAGE2,13)+VLOOKUP(H170,FORAGE2,14)+VLOOKUP(H170,FORAGE2,3)),IF(HayMonth11=5,I170*J170*(VLOOKUP(H170,FORAGE2,12)+VLOOKUP(H170,FORAGE2,13)+VLOOKUP(H170,FORAGE2,14)+VLOOKUP(H170,FORAGE2,3)+VLOOKUP(H170,FORAGE2,4)),IF(HayMonth11=6,I170*J170*(VLOOKUP(H170,FORAGE2,12)+VLOOKUP(H170,FORAGE2,13)+VLOOKUP(H170,FORAGE2,14)+VLOOKUP(H170,FORAGE2,3)+VLOOKUP(H170,FORAGE2,4)+VLOOKUP(H170,FORAGE2,5)),IF(HayMonth11=7,I170*J170*(VLOOKUP(H170,FORAGE2,12)+VLOOKUP(H170,FORAGE2,13)+VLOOKUP(H170,FORAGE2,14)+VLOOKUP(H170,FORAGE2,3)+VLOOKUP(H170,FORAGE2,4)+VLOOKUP(H170,FORAGE2,5)+VLOOKUP(H170,FORAGE2,6)), IF(HayMonth11=8,I170*J170*(VLOOKUP(H170,FORAGE2,12)+VLOOKUP(H170,FORAGE2,13)+VLOOKUP(H170,FORAGE2,14)+VLOOKUP(H170,FORAGE2,3)+VLOOKUP(H170,FORAGE2,4)+VLOOKUP(H170,FORAGE2,5)+VLOOKUP(H170,FORAGE2,6)+VLOOKUP(H170,FORAGE2,7)),IF(HayMonth11=9,I170*J170*(VLOOKUP(H170,FORAGE2,12)+VLOOKUP(H170,FORAGE2,13)+VLOOKUP(H170,FORAGE2,14)+VLOOKUP(H170,FORAGE2,3)+VLOOKUP(H170,FORAGE2,4)+VLOOKUP(H170,FORAGE2,5)+VLOOKUP(H170,FORAGE2,6)+VLOOKUP(H170,FORAGE2,7)+VLOOKUP(H170,FORAGE2,8)), IF(HayMonth11=10,I170*J170*(VLOOKUP(H170,FORAGE2,12)+VLOOKUP(H170,FORAGE2,13)+VLOOKUP(H170,FORAGE2,14)+VLOOKUP(H170,FORAGE2,3)+VLOOKUP(H170,FORAGE2,4)+VLOOKUP(H170,FORAGE2,5)+VLOOKUP(H170,FORAGE2,6)+VLOOKUP(H170,FORAGE2,7)+VLOOKUP(H170,FORAGE2,8)+VLOOKUP(H170,FORAGE2,9)),I170*J170*(VLOOKUP(H170,FORAGE2,12)+VLOOKUP(H170,FORAGE2,13)+VLOOKUP(H170,FORAGE2,14)+VLOOKUP(H170,FORAGE2,3)+VLOOKUP(H170,FORAGE2,4)+VLOOKUP(H170,FORAGE2,5)+VLOOKUP(H170,FORAGE2,6)+VLOOKUP(H170,FORAGE2,7)+VLOOKUP(H170,FORAGE2,8)+VLOOKUP(H170,FORAGE2,9)+VLOOKUP(H170,FORAGE2,10)+VLOOKUP(H170,FORAGE2,11))))))))))</f>
        <v>#DIV/0!</v>
      </c>
      <c r="L170" s="98" t="s">
        <v>270</v>
      </c>
      <c r="M170" s="12" t="e">
        <f t="shared" si="5"/>
        <v>#DIV/0!</v>
      </c>
      <c r="N170" s="382" t="str">
        <f>IF(H170="","",VLOOKUP(H170,ForageGrowthCurves!$A$6:$P$29,16,FALSE))</f>
        <v/>
      </c>
      <c r="O170" s="800"/>
      <c r="P170" s="800"/>
      <c r="Q170" s="800"/>
      <c r="R170" s="800"/>
      <c r="S170" s="800"/>
      <c r="T170" s="800"/>
      <c r="U170" s="800"/>
      <c r="V170" s="800"/>
      <c r="W170" s="800"/>
      <c r="X170" s="800"/>
      <c r="Y170" s="800"/>
      <c r="Z170" s="794"/>
    </row>
    <row r="171" spans="5:26" hidden="1">
      <c r="E171" s="798"/>
      <c r="F171" s="800"/>
      <c r="G171" s="383">
        <f>Field12</f>
        <v>12</v>
      </c>
      <c r="H171" s="134">
        <f>Kind12</f>
        <v>0</v>
      </c>
      <c r="I171" s="135">
        <f>Acres12</f>
        <v>0</v>
      </c>
      <c r="J171" s="342" t="str">
        <f>Yield12</f>
        <v/>
      </c>
      <c r="K171" s="12" t="e">
        <f>IF(HayMonth12=3,I171*J171*(VLOOKUP(H171,FORAGE2,12)+VLOOKUP(H171,FORAGE2,13)+VLOOKUP(H171,FORAGE2,14)),IF(HayMonth12=4,I171*J171*(VLOOKUP(H171,FORAGE2,12)+VLOOKUP(H171,FORAGE2,13)+VLOOKUP(H171,FORAGE2,14)+VLOOKUP(H171,FORAGE2,3)),IF(HayMonth12=5,I171*J171*(VLOOKUP(H171,FORAGE2,12)+VLOOKUP(H171,FORAGE2,13)+VLOOKUP(H171,FORAGE2,14)+VLOOKUP(H171,FORAGE2,3)+VLOOKUP(H171,FORAGE2,4)),IF(HayMonth12=6,I171*J171*(VLOOKUP(H171,FORAGE2,12)+VLOOKUP(H171,FORAGE2,13)+VLOOKUP(H171,FORAGE2,14)+VLOOKUP(H171,FORAGE2,3)+VLOOKUP(H171,FORAGE2,4)+VLOOKUP(H171,FORAGE2,5)),IF(HayMonth12=7,I171*J171*(VLOOKUP(H171,FORAGE2,12)+VLOOKUP(H171,FORAGE2,13)+VLOOKUP(H171,FORAGE2,14)+VLOOKUP(H171,FORAGE2,3)+VLOOKUP(H171,FORAGE2,4)+VLOOKUP(H171,FORAGE2,5)+VLOOKUP(H171,FORAGE2,6)), IF(HayMonth12=8,I171*J171*(VLOOKUP(H171,FORAGE2,12)+VLOOKUP(H171,FORAGE2,13)+VLOOKUP(H171,FORAGE2,14)+VLOOKUP(H171,FORAGE2,3)+VLOOKUP(H171,FORAGE2,4)+VLOOKUP(H171,FORAGE2,5)+VLOOKUP(H171,FORAGE2,6)+VLOOKUP(H171,FORAGE2,7)),IF(HayMonth12=9,I171*J171*(VLOOKUP(H171,FORAGE2,12)+VLOOKUP(H171,FORAGE2,13)+VLOOKUP(H171,FORAGE2,14)+VLOOKUP(H171,FORAGE2,3)+VLOOKUP(H171,FORAGE2,4)+VLOOKUP(H171,FORAGE2,5)+VLOOKUP(H171,FORAGE2,6)+VLOOKUP(H171,FORAGE2,7)+VLOOKUP(H171,FORAGE2,8)), IF(HayMonth12=10,I171*J171*(VLOOKUP(H171,FORAGE2,12)+VLOOKUP(H171,FORAGE2,13)+VLOOKUP(H171,FORAGE2,14)+VLOOKUP(H171,FORAGE2,3)+VLOOKUP(H171,FORAGE2,4)+VLOOKUP(H171,FORAGE2,5)+VLOOKUP(H171,FORAGE2,6)+VLOOKUP(H171,FORAGE2,7)+VLOOKUP(H171,FORAGE2,8)+VLOOKUP(H171,FORAGE2,9)),I171*J171*(VLOOKUP(H171,FORAGE2,12)+VLOOKUP(H171,FORAGE2,13)+VLOOKUP(H171,FORAGE2,14)+VLOOKUP(H171,FORAGE2,3)+VLOOKUP(H171,FORAGE2,4)+VLOOKUP(H171,FORAGE2,5)+VLOOKUP(H171,FORAGE2,6)+VLOOKUP(H171,FORAGE2,7)+VLOOKUP(H171,FORAGE2,8)+VLOOKUP(H171,FORAGE2,9)+VLOOKUP(H171,FORAGE2,10)+VLOOKUP(H171,FORAGE2,11))))))))))</f>
        <v>#DIV/0!</v>
      </c>
      <c r="L171" s="98"/>
      <c r="M171" s="12" t="e">
        <f t="shared" si="5"/>
        <v>#DIV/0!</v>
      </c>
      <c r="N171" s="382" t="str">
        <f>IF(H171="","",VLOOKUP(H171,ForageGrowthCurves!$A$6:$P$29,16,FALSE))</f>
        <v/>
      </c>
      <c r="O171" s="800"/>
      <c r="P171" s="800"/>
      <c r="Q171" s="800"/>
      <c r="R171" s="800"/>
      <c r="S171" s="800"/>
      <c r="T171" s="800"/>
      <c r="U171" s="800"/>
      <c r="V171" s="800"/>
      <c r="W171" s="800"/>
      <c r="X171" s="800"/>
      <c r="Y171" s="800"/>
      <c r="Z171" s="794"/>
    </row>
    <row r="172" spans="5:26" hidden="1">
      <c r="E172" s="798"/>
      <c r="F172" s="800"/>
      <c r="G172" s="383">
        <f>Field13</f>
        <v>13</v>
      </c>
      <c r="H172" s="134">
        <f>Kind13</f>
        <v>0</v>
      </c>
      <c r="I172" s="135">
        <f>Acres13</f>
        <v>0</v>
      </c>
      <c r="J172" s="342" t="str">
        <f>Yield13</f>
        <v/>
      </c>
      <c r="K172" s="12" t="e">
        <f>IF(HayMonth13=3,I172*J172*(VLOOKUP(H172,FORAGE2,12)+VLOOKUP(H172,FORAGE2,13)+VLOOKUP(H172,FORAGE2,14)),IF(HayMonth13=4,I172*J172*(VLOOKUP(H172,FORAGE2,12)+VLOOKUP(H172,FORAGE2,13)+VLOOKUP(H172,FORAGE2,14)+VLOOKUP(H172,FORAGE2,3)),IF(HayMonth13=5,I172*J172*(VLOOKUP(H172,FORAGE2,12)+VLOOKUP(H172,FORAGE2,13)+VLOOKUP(H172,FORAGE2,14)+VLOOKUP(H172,FORAGE2,3)+VLOOKUP(H172,FORAGE2,4)),IF(HayMonth13=6,I172*J172*(VLOOKUP(H172,FORAGE2,12)+VLOOKUP(H172,FORAGE2,13)+VLOOKUP(H172,FORAGE2,14)+VLOOKUP(H172,FORAGE2,3)+VLOOKUP(H172,FORAGE2,4)+VLOOKUP(H172,FORAGE2,5)),IF(HayMonth13=7,I172*J172*(VLOOKUP(H172,FORAGE2,12)+VLOOKUP(H172,FORAGE2,13)+VLOOKUP(H172,FORAGE2,14)+VLOOKUP(H172,FORAGE2,3)+VLOOKUP(H172,FORAGE2,4)+VLOOKUP(H172,FORAGE2,5)+VLOOKUP(H172,FORAGE2,6)), IF(HayMonth13=8,I172*J172*(VLOOKUP(H172,FORAGE2,12)+VLOOKUP(H172,FORAGE2,13)+VLOOKUP(H172,FORAGE2,14)+VLOOKUP(H172,FORAGE2,3)+VLOOKUP(H172,FORAGE2,4)+VLOOKUP(H172,FORAGE2,5)+VLOOKUP(H172,FORAGE2,6)+VLOOKUP(H172,FORAGE2,7)),IF(HayMonth13=9,I172*J172*(VLOOKUP(H172,FORAGE2,12)+VLOOKUP(H172,FORAGE2,13)+VLOOKUP(H172,FORAGE2,14)+VLOOKUP(H172,FORAGE2,3)+VLOOKUP(H172,FORAGE2,4)+VLOOKUP(H172,FORAGE2,5)+VLOOKUP(H172,FORAGE2,6)+VLOOKUP(H172,FORAGE2,7)+VLOOKUP(H172,FORAGE2,8)), IF(HayMonth13=10,I172*J172*(VLOOKUP(H172,FORAGE2,12)+VLOOKUP(H172,FORAGE2,13)+VLOOKUP(H172,FORAGE2,14)+VLOOKUP(H172,FORAGE2,3)+VLOOKUP(H172,FORAGE2,4)+VLOOKUP(H172,FORAGE2,5)+VLOOKUP(H172,FORAGE2,6)+VLOOKUP(H172,FORAGE2,7)+VLOOKUP(H172,FORAGE2,8)+VLOOKUP(H172,FORAGE2,9)),I172*J172*(VLOOKUP(H172,FORAGE2,12)+VLOOKUP(H172,FORAGE2,13)+VLOOKUP(H172,FORAGE2,14)+VLOOKUP(H172,FORAGE2,3)+VLOOKUP(H172,FORAGE2,4)+VLOOKUP(H172,FORAGE2,5)+VLOOKUP(H172,FORAGE2,6)+VLOOKUP(H172,FORAGE2,7)+VLOOKUP(H172,FORAGE2,8)+VLOOKUP(H172,FORAGE2,9)+VLOOKUP(H172,FORAGE2,10)+VLOOKUP(H172,FORAGE2,11))))))))))</f>
        <v>#DIV/0!</v>
      </c>
      <c r="L172" s="98"/>
      <c r="M172" s="12" t="e">
        <f t="shared" si="5"/>
        <v>#DIV/0!</v>
      </c>
      <c r="N172" s="382" t="str">
        <f>IF(H172="","",VLOOKUP(H172,ForageGrowthCurves!$A$6:$P$29,16,FALSE))</f>
        <v/>
      </c>
      <c r="O172" s="800"/>
      <c r="P172" s="800"/>
      <c r="Q172" s="800"/>
      <c r="R172" s="800"/>
      <c r="S172" s="800"/>
      <c r="T172" s="800"/>
      <c r="U172" s="800"/>
      <c r="V172" s="800"/>
      <c r="W172" s="800"/>
      <c r="X172" s="800"/>
      <c r="Y172" s="800"/>
      <c r="Z172" s="794"/>
    </row>
    <row r="173" spans="5:26" hidden="1">
      <c r="E173" s="798"/>
      <c r="F173" s="800"/>
      <c r="G173" s="383">
        <f>Field14</f>
        <v>14</v>
      </c>
      <c r="H173" s="134">
        <f>Kind14</f>
        <v>0</v>
      </c>
      <c r="I173" s="135">
        <f>Acres14</f>
        <v>0</v>
      </c>
      <c r="J173" s="342" t="str">
        <f>Yield14</f>
        <v/>
      </c>
      <c r="K173" s="12" t="e">
        <f>IF(HayMonth14=3,I173*J173*(VLOOKUP(H173,FORAGE2,12)+VLOOKUP(H173,FORAGE2,13)+VLOOKUP(H173,FORAGE2,14)),IF(HayMonth14=4,I173*J173*(VLOOKUP(H173,FORAGE2,12)+VLOOKUP(H173,FORAGE2,13)+VLOOKUP(H173,FORAGE2,14)+VLOOKUP(H173,FORAGE2,3)),IF(HayMonth14=5,I173*J173*(VLOOKUP(H173,FORAGE2,12)+VLOOKUP(H173,FORAGE2,13)+VLOOKUP(H173,FORAGE2,14)+VLOOKUP(H173,FORAGE2,3)+VLOOKUP(H173,FORAGE2,4)),IF(HayMonth14=6,I173*J173*(VLOOKUP(H173,FORAGE2,12)+VLOOKUP(H173,FORAGE2,13)+VLOOKUP(H173,FORAGE2,14)+VLOOKUP(H173,FORAGE2,3)+VLOOKUP(H173,FORAGE2,4)+VLOOKUP(H173,FORAGE2,5)),IF(HayMonth14=7,I173*J173*(VLOOKUP(H173,FORAGE2,12)+VLOOKUP(H173,FORAGE2,13)+VLOOKUP(H173,FORAGE2,14)+VLOOKUP(H173,FORAGE2,3)+VLOOKUP(H173,FORAGE2,4)+VLOOKUP(H173,FORAGE2,5)+VLOOKUP(H173,FORAGE2,6)), IF(HayMonth14=8,I173*J173*(VLOOKUP(H173,FORAGE2,12)+VLOOKUP(H173,FORAGE2,13)+VLOOKUP(H173,FORAGE2,14)+VLOOKUP(H173,FORAGE2,3)+VLOOKUP(H173,FORAGE2,4)+VLOOKUP(H173,FORAGE2,5)+VLOOKUP(H173,FORAGE2,6)+VLOOKUP(H173,FORAGE2,7)),IF(HayMonth14=9,I173*J173*(VLOOKUP(H173,FORAGE2,12)+VLOOKUP(H173,FORAGE2,13)+VLOOKUP(H173,FORAGE2,14)+VLOOKUP(H173,FORAGE2,3)+VLOOKUP(H173,FORAGE2,4)+VLOOKUP(H173,FORAGE2,5)+VLOOKUP(H173,FORAGE2,6)+VLOOKUP(H173,FORAGE2,7)+VLOOKUP(H173,FORAGE2,8)), IF(HayMonth14=10,I173*J173*(VLOOKUP(H173,FORAGE2,12)+VLOOKUP(H173,FORAGE2,13)+VLOOKUP(H173,FORAGE2,14)+VLOOKUP(H173,FORAGE2,3)+VLOOKUP(H173,FORAGE2,4)+VLOOKUP(H173,FORAGE2,5)+VLOOKUP(H173,FORAGE2,6)+VLOOKUP(H173,FORAGE2,7)+VLOOKUP(H173,FORAGE2,8)+VLOOKUP(H173,FORAGE2,9)),I173*J173*(VLOOKUP(H173,FORAGE2,12)+VLOOKUP(H173,FORAGE2,13)+VLOOKUP(H173,FORAGE2,14)+VLOOKUP(H173,FORAGE2,3)+VLOOKUP(H173,FORAGE2,4)+VLOOKUP(H173,FORAGE2,5)+VLOOKUP(H173,FORAGE2,6)+VLOOKUP(H173,FORAGE2,7)+VLOOKUP(H173,FORAGE2,8)+VLOOKUP(H173,FORAGE2,9)+VLOOKUP(H173,FORAGE2,10)+VLOOKUP(H173,FORAGE2,11))))))))))</f>
        <v>#DIV/0!</v>
      </c>
      <c r="L173" s="98"/>
      <c r="M173" s="12" t="e">
        <f t="shared" si="5"/>
        <v>#DIV/0!</v>
      </c>
      <c r="N173" s="382" t="str">
        <f>IF(H173="","",VLOOKUP(H173,ForageGrowthCurves!$A$6:$P$29,16,FALSE))</f>
        <v/>
      </c>
      <c r="O173" s="800"/>
      <c r="P173" s="800"/>
      <c r="Q173" s="800"/>
      <c r="R173" s="800"/>
      <c r="S173" s="800"/>
      <c r="T173" s="800"/>
      <c r="U173" s="800"/>
      <c r="V173" s="800"/>
      <c r="W173" s="800"/>
      <c r="X173" s="800"/>
      <c r="Y173" s="800"/>
      <c r="Z173" s="794"/>
    </row>
    <row r="174" spans="5:26" hidden="1">
      <c r="E174" s="798"/>
      <c r="F174" s="800"/>
      <c r="G174" s="383">
        <f>Field15</f>
        <v>15</v>
      </c>
      <c r="H174" s="134">
        <f>Kind15</f>
        <v>0</v>
      </c>
      <c r="I174" s="135">
        <f>Acres15</f>
        <v>0</v>
      </c>
      <c r="J174" s="342" t="str">
        <f>Yield15</f>
        <v/>
      </c>
      <c r="K174" s="12" t="e">
        <f>IF(HayMonth15=3,I174*J174*(VLOOKUP(H174,FORAGE2,12)+VLOOKUP(H174,FORAGE2,13)+VLOOKUP(H174,FORAGE2,14)),IF(HayMonth15=4,I174*J174*(VLOOKUP(H174,FORAGE2,12)+VLOOKUP(H174,FORAGE2,13)+VLOOKUP(H174,FORAGE2,14)+VLOOKUP(H174,FORAGE2,3)),IF(HayMonth15=5,I174*J174*(VLOOKUP(H174,FORAGE2,12)+VLOOKUP(H174,FORAGE2,13)+VLOOKUP(H174,FORAGE2,14)+VLOOKUP(H174,FORAGE2,3)+VLOOKUP(H174,FORAGE2,4)),IF(HayMonth15=6,I174*J174*(VLOOKUP(H174,FORAGE2,12)+VLOOKUP(H174,FORAGE2,13)+VLOOKUP(H174,FORAGE2,14)+VLOOKUP(H174,FORAGE2,3)+VLOOKUP(H174,FORAGE2,4)+VLOOKUP(H174,FORAGE2,5)),IF(HayMonth15=7,I174*J174*(VLOOKUP(H174,FORAGE2,12)+VLOOKUP(H174,FORAGE2,13)+VLOOKUP(H174,FORAGE2,14)+VLOOKUP(H174,FORAGE2,3)+VLOOKUP(H174,FORAGE2,4)+VLOOKUP(H174,FORAGE2,5)+VLOOKUP(H174,FORAGE2,6)), IF(HayMonth15=8,I174*J174*(VLOOKUP(H174,FORAGE2,12)+VLOOKUP(H174,FORAGE2,13)+VLOOKUP(H174,FORAGE2,14)+VLOOKUP(H174,FORAGE2,3)+VLOOKUP(H174,FORAGE2,4)+VLOOKUP(H174,FORAGE2,5)+VLOOKUP(H174,FORAGE2,6)+VLOOKUP(H174,FORAGE2,7)),IF(HayMonth15=9,I174*J174*(VLOOKUP(H174,FORAGE2,12)+VLOOKUP(H174,FORAGE2,13)+VLOOKUP(H174,FORAGE2,14)+VLOOKUP(H174,FORAGE2,3)+VLOOKUP(H174,FORAGE2,4)+VLOOKUP(H174,FORAGE2,5)+VLOOKUP(H174,FORAGE2,6)+VLOOKUP(H174,FORAGE2,7)+VLOOKUP(H174,FORAGE2,8)), IF(HayMonth15=10,I174*J174*(VLOOKUP(H174,FORAGE2,12)+VLOOKUP(H174,FORAGE2,13)+VLOOKUP(H174,FORAGE2,14)+VLOOKUP(H174,FORAGE2,3)+VLOOKUP(H174,FORAGE2,4)+VLOOKUP(H174,FORAGE2,5)+VLOOKUP(H174,FORAGE2,6)+VLOOKUP(H174,FORAGE2,7)+VLOOKUP(H174,FORAGE2,8)+VLOOKUP(H174,FORAGE2,9)),I174*J174*(VLOOKUP(H174,FORAGE2,12)+VLOOKUP(H174,FORAGE2,13)+VLOOKUP(H174,FORAGE2,14)+VLOOKUP(H174,FORAGE2,3)+VLOOKUP(H174,FORAGE2,4)+VLOOKUP(H174,FORAGE2,5)+VLOOKUP(H174,FORAGE2,6)+VLOOKUP(H174,FORAGE2,7)+VLOOKUP(H174,FORAGE2,8)+VLOOKUP(H174,FORAGE2,9)+VLOOKUP(H174,FORAGE2,10)+VLOOKUP(H174,FORAGE2,11))))))))))</f>
        <v>#DIV/0!</v>
      </c>
      <c r="L174" s="98"/>
      <c r="M174" s="12" t="e">
        <f t="shared" si="5"/>
        <v>#DIV/0!</v>
      </c>
      <c r="N174" s="382" t="str">
        <f>IF(H174="","",VLOOKUP(H174,ForageGrowthCurves!$A$6:$P$29,16,FALSE))</f>
        <v/>
      </c>
      <c r="O174" s="800"/>
      <c r="P174" s="800"/>
      <c r="Q174" s="800"/>
      <c r="R174" s="800"/>
      <c r="S174" s="800"/>
      <c r="T174" s="800"/>
      <c r="U174" s="800"/>
      <c r="V174" s="800"/>
      <c r="W174" s="800"/>
      <c r="X174" s="800"/>
      <c r="Y174" s="800"/>
      <c r="Z174" s="794"/>
    </row>
    <row r="175" spans="5:26" ht="15" hidden="1" customHeight="1">
      <c r="E175" s="798"/>
      <c r="F175" s="800"/>
      <c r="G175" s="437">
        <f>Field16</f>
        <v>16</v>
      </c>
      <c r="H175" s="437">
        <f>Kind16</f>
        <v>0</v>
      </c>
      <c r="I175" s="437">
        <f>Acres16</f>
        <v>0</v>
      </c>
      <c r="J175" s="143" t="str">
        <f>Yield16</f>
        <v/>
      </c>
      <c r="K175" s="12" t="e">
        <f>IF(HayMonth16=3,I175*J175*(VLOOKUP(H175,FORAGE2,12)+VLOOKUP(H175,FORAGE2,13)+VLOOKUP(H175,FORAGE2,14)),IF(HayMonth16=4,I175*J175*(VLOOKUP(H175,FORAGE2,12)+VLOOKUP(H175,FORAGE2,13)+VLOOKUP(H175,FORAGE2,14)+VLOOKUP(H175,FORAGE2,3)),IF(HayMonth16=5,I175*J175*(VLOOKUP(H175,FORAGE2,12)+VLOOKUP(H175,FORAGE2,13)+VLOOKUP(H175,FORAGE2,14)+VLOOKUP(H175,FORAGE2,3)+VLOOKUP(H175,FORAGE2,4)),IF(HayMonth16=6,I175*J175*(VLOOKUP(H175,FORAGE2,12)+VLOOKUP(H175,FORAGE2,13)+VLOOKUP(H175,FORAGE2,14)+VLOOKUP(H175,FORAGE2,3)+VLOOKUP(H175,FORAGE2,4)+VLOOKUP(H175,FORAGE2,5)),IF(HayMonth16=7,I175*J175*(VLOOKUP(H175,FORAGE2,12)+VLOOKUP(H175,FORAGE2,13)+VLOOKUP(H175,FORAGE2,14)+VLOOKUP(H175,FORAGE2,3)+VLOOKUP(H175,FORAGE2,4)+VLOOKUP(H175,FORAGE2,5)+VLOOKUP(H175,FORAGE2,6)), IF(HayMonth16=8,I175*J175*(VLOOKUP(H175,FORAGE2,12)+VLOOKUP(H175,FORAGE2,13)+VLOOKUP(H175,FORAGE2,14)+VLOOKUP(H175,FORAGE2,3)+VLOOKUP(H175,FORAGE2,4)+VLOOKUP(H175,FORAGE2,5)+VLOOKUP(H175,FORAGE2,6)+VLOOKUP(H175,FORAGE2,7)),IF(HayMonth16=9,I175*J175*(VLOOKUP(H175,FORAGE2,12)+VLOOKUP(H175,FORAGE2,13)+VLOOKUP(H175,FORAGE2,14)+VLOOKUP(H175,FORAGE2,3)+VLOOKUP(H175,FORAGE2,4)+VLOOKUP(H175,FORAGE2,5)+VLOOKUP(H175,FORAGE2,6)+VLOOKUP(H175,FORAGE2,7)+VLOOKUP(H175,FORAGE2,8)), IF(HayMonth16=10,I175*J175*(VLOOKUP(H175,FORAGE2,12)+VLOOKUP(H175,FORAGE2,13)+VLOOKUP(H175,FORAGE2,14)+VLOOKUP(H175,FORAGE2,3)+VLOOKUP(H175,FORAGE2,4)+VLOOKUP(H175,FORAGE2,5)+VLOOKUP(H175,FORAGE2,6)+VLOOKUP(H175,FORAGE2,7)+VLOOKUP(H175,FORAGE2,8)+VLOOKUP(H175,FORAGE2,9)),I175*J175*(VLOOKUP(H175,FORAGE2,12)+VLOOKUP(H175,FORAGE2,13)+VLOOKUP(H175,FORAGE2,14)+VLOOKUP(H175,FORAGE2,3)+VLOOKUP(H175,FORAGE2,4)+VLOOKUP(H175,FORAGE2,5)+VLOOKUP(H175,FORAGE2,6)+VLOOKUP(H175,FORAGE2,7)+VLOOKUP(H175,FORAGE2,8)+VLOOKUP(H175,FORAGE2,9)+VLOOKUP(H175,FORAGE2,10)+VLOOKUP(H175,FORAGE2,11))))))))))</f>
        <v>#DIV/0!</v>
      </c>
      <c r="L175" s="98"/>
      <c r="M175" s="12" t="e">
        <f t="shared" si="5"/>
        <v>#DIV/0!</v>
      </c>
      <c r="N175" s="382" t="str">
        <f>IF(H175="","",VLOOKUP(H175,ForageGrowthCurves!$A$6:$P$29,16,FALSE))</f>
        <v/>
      </c>
      <c r="O175" s="800"/>
      <c r="P175" s="800"/>
      <c r="Q175" s="800"/>
      <c r="R175" s="800"/>
      <c r="S175" s="800"/>
      <c r="T175" s="800"/>
      <c r="U175" s="800"/>
      <c r="V175" s="800"/>
      <c r="W175" s="800"/>
      <c r="X175" s="800"/>
      <c r="Y175" s="800"/>
      <c r="Z175" s="794"/>
    </row>
    <row r="176" spans="5:26" ht="15" hidden="1" customHeight="1">
      <c r="E176" s="798"/>
      <c r="F176" s="800"/>
      <c r="G176" s="437">
        <f>Field17</f>
        <v>17</v>
      </c>
      <c r="H176" s="437">
        <f>Kind17</f>
        <v>0</v>
      </c>
      <c r="I176" s="437">
        <f>Acres17</f>
        <v>0</v>
      </c>
      <c r="J176" s="143" t="str">
        <f>Yield17</f>
        <v/>
      </c>
      <c r="K176" s="12" t="e">
        <f>IF(HayMonth17=3,I176*J176*(VLOOKUP(H176,FORAGE2,12)+VLOOKUP(H176,FORAGE2,13)+VLOOKUP(H176,FORAGE2,14)),IF(HayMonth17=4,I176*J176*(VLOOKUP(H176,FORAGE2,12)+VLOOKUP(H176,FORAGE2,13)+VLOOKUP(H176,FORAGE2,14)+VLOOKUP(H176,FORAGE2,3)),IF(HayMonth17=5,I176*J176*(VLOOKUP(H176,FORAGE2,12)+VLOOKUP(H176,FORAGE2,13)+VLOOKUP(H176,FORAGE2,14)+VLOOKUP(H176,FORAGE2,3)+VLOOKUP(H176,FORAGE2,4)),IF(HayMonth17=6,I176*J176*(VLOOKUP(H176,FORAGE2,12)+VLOOKUP(H176,FORAGE2,13)+VLOOKUP(H176,FORAGE2,14)+VLOOKUP(H176,FORAGE2,3)+VLOOKUP(H176,FORAGE2,4)+VLOOKUP(H176,FORAGE2,5)),IF(HayMonth17=7,I176*J176*(VLOOKUP(H176,FORAGE2,12)+VLOOKUP(H176,FORAGE2,13)+VLOOKUP(H176,FORAGE2,14)+VLOOKUP(H176,FORAGE2,3)+VLOOKUP(H176,FORAGE2,4)+VLOOKUP(H176,FORAGE2,5)+VLOOKUP(H176,FORAGE2,6)), IF(HayMonth17=8,I176*J176*(VLOOKUP(H176,FORAGE2,12)+VLOOKUP(H176,FORAGE2,13)+VLOOKUP(H176,FORAGE2,14)+VLOOKUP(H176,FORAGE2,3)+VLOOKUP(H176,FORAGE2,4)+VLOOKUP(H176,FORAGE2,5)+VLOOKUP(H176,FORAGE2,6)+VLOOKUP(H176,FORAGE2,7)),IF(HayMonth17=9,I176*J176*(VLOOKUP(H176,FORAGE2,12)+VLOOKUP(H176,FORAGE2,13)+VLOOKUP(H176,FORAGE2,14)+VLOOKUP(H176,FORAGE2,3)+VLOOKUP(H176,FORAGE2,4)+VLOOKUP(H176,FORAGE2,5)+VLOOKUP(H176,FORAGE2,6)+VLOOKUP(H176,FORAGE2,7)+VLOOKUP(H176,FORAGE2,8)), IF(HayMonth17=10,I176*J176*(VLOOKUP(H176,FORAGE2,12)+VLOOKUP(H176,FORAGE2,13)+VLOOKUP(H176,FORAGE2,14)+VLOOKUP(H176,FORAGE2,3)+VLOOKUP(H176,FORAGE2,4)+VLOOKUP(H176,FORAGE2,5)+VLOOKUP(H176,FORAGE2,6)+VLOOKUP(H176,FORAGE2,7)+VLOOKUP(H176,FORAGE2,8)+VLOOKUP(H176,FORAGE2,9)),I176*J176*(VLOOKUP(H176,FORAGE2,12)+VLOOKUP(H176,FORAGE2,13)+VLOOKUP(H176,FORAGE2,14)+VLOOKUP(H176,FORAGE2,3)+VLOOKUP(H176,FORAGE2,4)+VLOOKUP(H176,FORAGE2,5)+VLOOKUP(H176,FORAGE2,6)+VLOOKUP(H176,FORAGE2,7)+VLOOKUP(H176,FORAGE2,8)+VLOOKUP(H176,FORAGE2,9)+VLOOKUP(H176,FORAGE2,10)+VLOOKUP(H176,FORAGE2,11))))))))))</f>
        <v>#DIV/0!</v>
      </c>
      <c r="L176" s="98"/>
      <c r="M176" s="12" t="e">
        <f t="shared" si="5"/>
        <v>#DIV/0!</v>
      </c>
      <c r="N176" s="382" t="str">
        <f>IF(H176="","",VLOOKUP(H176,ForageGrowthCurves!$A$6:$P$29,16,FALSE))</f>
        <v/>
      </c>
      <c r="O176" s="800"/>
      <c r="P176" s="800"/>
      <c r="Q176" s="800"/>
      <c r="R176" s="800"/>
      <c r="S176" s="800"/>
      <c r="T176" s="800"/>
      <c r="U176" s="800"/>
      <c r="V176" s="800"/>
      <c r="W176" s="800"/>
      <c r="X176" s="800"/>
      <c r="Y176" s="800"/>
      <c r="Z176" s="794"/>
    </row>
    <row r="177" spans="5:26" ht="15" hidden="1" customHeight="1">
      <c r="E177" s="798"/>
      <c r="F177" s="800"/>
      <c r="G177" s="437">
        <f>Field18</f>
        <v>18</v>
      </c>
      <c r="H177" s="437">
        <f>Kind18</f>
        <v>0</v>
      </c>
      <c r="I177" s="437">
        <f>Acres18</f>
        <v>0</v>
      </c>
      <c r="J177" s="143" t="str">
        <f>Yield18</f>
        <v/>
      </c>
      <c r="K177" s="12" t="e">
        <f>IF(HayMonth18=3,I177*J177*(VLOOKUP(H177,FORAGE2,12)+VLOOKUP(H177,FORAGE2,13)+VLOOKUP(H177,FORAGE2,14)),IF(HayMonth18=4,I177*J177*(VLOOKUP(H177,FORAGE2,12)+VLOOKUP(H177,FORAGE2,13)+VLOOKUP(H177,FORAGE2,14)+VLOOKUP(H177,FORAGE2,3)),IF(HayMonth18=5,I177*J177*(VLOOKUP(H177,FORAGE2,12)+VLOOKUP(H177,FORAGE2,13)+VLOOKUP(H177,FORAGE2,14)+VLOOKUP(H177,FORAGE2,3)+VLOOKUP(H177,FORAGE2,4)),IF(HayMonth18=6,I177*J177*(VLOOKUP(H177,FORAGE2,12)+VLOOKUP(H177,FORAGE2,13)+VLOOKUP(H177,FORAGE2,14)+VLOOKUP(H177,FORAGE2,3)+VLOOKUP(H177,FORAGE2,4)+VLOOKUP(H177,FORAGE2,5)),IF(HayMonth18=7,I177*J177*(VLOOKUP(H177,FORAGE2,12)+VLOOKUP(H177,FORAGE2,13)+VLOOKUP(H177,FORAGE2,14)+VLOOKUP(H177,FORAGE2,3)+VLOOKUP(H177,FORAGE2,4)+VLOOKUP(H177,FORAGE2,5)+VLOOKUP(H177,FORAGE2,6)), IF(HayMonth18=8,I177*J177*(VLOOKUP(H177,FORAGE2,12)+VLOOKUP(H177,FORAGE2,13)+VLOOKUP(H177,FORAGE2,14)+VLOOKUP(H177,FORAGE2,3)+VLOOKUP(H177,FORAGE2,4)+VLOOKUP(H177,FORAGE2,5)+VLOOKUP(H177,FORAGE2,6)+VLOOKUP(H177,FORAGE2,7)),IF(HayMonth18=9,I177*J177*(VLOOKUP(H177,FORAGE2,12)+VLOOKUP(H177,FORAGE2,13)+VLOOKUP(H177,FORAGE2,14)+VLOOKUP(H177,FORAGE2,3)+VLOOKUP(H177,FORAGE2,4)+VLOOKUP(H177,FORAGE2,5)+VLOOKUP(H177,FORAGE2,6)+VLOOKUP(H177,FORAGE2,7)+VLOOKUP(H177,FORAGE2,8)), IF(HayMonth18=10,I177*J177*(VLOOKUP(H177,FORAGE2,12)+VLOOKUP(H177,FORAGE2,13)+VLOOKUP(H177,FORAGE2,14)+VLOOKUP(H177,FORAGE2,3)+VLOOKUP(H177,FORAGE2,4)+VLOOKUP(H177,FORAGE2,5)+VLOOKUP(H177,FORAGE2,6)+VLOOKUP(H177,FORAGE2,7)+VLOOKUP(H177,FORAGE2,8)+VLOOKUP(H177,FORAGE2,9)),I177*J177*(VLOOKUP(H177,FORAGE2,12)+VLOOKUP(H177,FORAGE2,13)+VLOOKUP(H177,FORAGE2,14)+VLOOKUP(H177,FORAGE2,3)+VLOOKUP(H177,FORAGE2,4)+VLOOKUP(H177,FORAGE2,5)+VLOOKUP(H177,FORAGE2,6)+VLOOKUP(H177,FORAGE2,7)+VLOOKUP(H177,FORAGE2,8)+VLOOKUP(H177,FORAGE2,9)+VLOOKUP(H177,FORAGE2,10)+VLOOKUP(H177,FORAGE2,11))))))))))</f>
        <v>#DIV/0!</v>
      </c>
      <c r="L177" s="98"/>
      <c r="M177" s="12" t="e">
        <f t="shared" si="5"/>
        <v>#DIV/0!</v>
      </c>
      <c r="N177" s="382" t="str">
        <f>IF(H177="","",VLOOKUP(H177,ForageGrowthCurves!$A$6:$P$29,16,FALSE))</f>
        <v/>
      </c>
      <c r="O177" s="800"/>
      <c r="P177" s="800"/>
      <c r="Q177" s="800"/>
      <c r="R177" s="800"/>
      <c r="S177" s="800"/>
      <c r="T177" s="800"/>
      <c r="U177" s="800"/>
      <c r="V177" s="800"/>
      <c r="W177" s="800"/>
      <c r="X177" s="800"/>
      <c r="Y177" s="800"/>
      <c r="Z177" s="794"/>
    </row>
    <row r="178" spans="5:26" ht="15" hidden="1" customHeight="1">
      <c r="E178" s="798"/>
      <c r="F178" s="800"/>
      <c r="G178" s="437">
        <f>Field19</f>
        <v>19</v>
      </c>
      <c r="H178" s="437">
        <f>Kind19</f>
        <v>0</v>
      </c>
      <c r="I178" s="437">
        <f>Acres19</f>
        <v>0</v>
      </c>
      <c r="J178" s="143" t="str">
        <f>Yield19</f>
        <v/>
      </c>
      <c r="K178" s="12" t="e">
        <f>IF(HayMonth19=3,I178*J178*(VLOOKUP(H178,FORAGE2,12)+VLOOKUP(H178,FORAGE2,13)+VLOOKUP(H178,FORAGE2,14)),IF(HayMonth19=4,I178*J178*(VLOOKUP(H178,FORAGE2,12)+VLOOKUP(H178,FORAGE2,13)+VLOOKUP(H178,FORAGE2,14)+VLOOKUP(H178,FORAGE2,3)),IF(HayMonth19=5,I178*J178*(VLOOKUP(H178,FORAGE2,12)+VLOOKUP(H178,FORAGE2,13)+VLOOKUP(H178,FORAGE2,14)+VLOOKUP(H178,FORAGE2,3)+VLOOKUP(H178,FORAGE2,4)),IF(HayMonth19=6,I178*J178*(VLOOKUP(H178,FORAGE2,12)+VLOOKUP(H178,FORAGE2,13)+VLOOKUP(H178,FORAGE2,14)+VLOOKUP(H178,FORAGE2,3)+VLOOKUP(H178,FORAGE2,4)+VLOOKUP(H178,FORAGE2,5)),IF(HayMonth19=7,I178*J178*(VLOOKUP(H178,FORAGE2,12)+VLOOKUP(H178,FORAGE2,13)+VLOOKUP(H178,FORAGE2,14)+VLOOKUP(H178,FORAGE2,3)+VLOOKUP(H178,FORAGE2,4)+VLOOKUP(H178,FORAGE2,5)+VLOOKUP(H178,FORAGE2,6)), IF(HayMonth19=8,I178*J178*(VLOOKUP(H178,FORAGE2,12)+VLOOKUP(H178,FORAGE2,13)+VLOOKUP(H178,FORAGE2,14)+VLOOKUP(H178,FORAGE2,3)+VLOOKUP(H178,FORAGE2,4)+VLOOKUP(H178,FORAGE2,5)+VLOOKUP(H178,FORAGE2,6)+VLOOKUP(H178,FORAGE2,7)),IF(HayMonth19=9,I178*J178*(VLOOKUP(H178,FORAGE2,12)+VLOOKUP(H178,FORAGE2,13)+VLOOKUP(H178,FORAGE2,14)+VLOOKUP(H178,FORAGE2,3)+VLOOKUP(H178,FORAGE2,4)+VLOOKUP(H178,FORAGE2,5)+VLOOKUP(H178,FORAGE2,6)+VLOOKUP(H178,FORAGE2,7)+VLOOKUP(H178,FORAGE2,8)), IF(HayMonth19=10,I178*J178*(VLOOKUP(H178,FORAGE2,12)+VLOOKUP(H178,FORAGE2,13)+VLOOKUP(H178,FORAGE2,14)+VLOOKUP(H178,FORAGE2,3)+VLOOKUP(H178,FORAGE2,4)+VLOOKUP(H178,FORAGE2,5)+VLOOKUP(H178,FORAGE2,6)+VLOOKUP(H178,FORAGE2,7)+VLOOKUP(H178,FORAGE2,8)+VLOOKUP(H178,FORAGE2,9)),I178*J178*(VLOOKUP(H178,FORAGE2,12)+VLOOKUP(H178,FORAGE2,13)+VLOOKUP(H178,FORAGE2,14)+VLOOKUP(H178,FORAGE2,3)+VLOOKUP(H178,FORAGE2,4)+VLOOKUP(H178,FORAGE2,5)+VLOOKUP(H178,FORAGE2,6)+VLOOKUP(H178,FORAGE2,7)+VLOOKUP(H178,FORAGE2,8)+VLOOKUP(H178,FORAGE2,9)+VLOOKUP(H178,FORAGE2,10)+VLOOKUP(H178,FORAGE2,11))))))))))</f>
        <v>#DIV/0!</v>
      </c>
      <c r="L178" s="98"/>
      <c r="M178" s="12" t="e">
        <f t="shared" si="5"/>
        <v>#DIV/0!</v>
      </c>
      <c r="N178" s="382" t="str">
        <f>IF(H178="","",VLOOKUP(H178,ForageGrowthCurves!$A$6:$P$29,16,FALSE))</f>
        <v/>
      </c>
      <c r="O178" s="800"/>
      <c r="P178" s="800"/>
      <c r="Q178" s="800"/>
      <c r="R178" s="800"/>
      <c r="S178" s="800"/>
      <c r="T178" s="800"/>
      <c r="U178" s="800"/>
      <c r="V178" s="800"/>
      <c r="W178" s="800"/>
      <c r="X178" s="800"/>
      <c r="Y178" s="800"/>
      <c r="Z178" s="794"/>
    </row>
    <row r="179" spans="5:26" ht="15" hidden="1" customHeight="1">
      <c r="E179" s="798"/>
      <c r="F179" s="800"/>
      <c r="G179" s="437">
        <f>Field20</f>
        <v>20</v>
      </c>
      <c r="H179" s="437">
        <f>Kind20</f>
        <v>0</v>
      </c>
      <c r="I179" s="437">
        <f>Acres20</f>
        <v>0</v>
      </c>
      <c r="J179" s="143" t="str">
        <f>Yield20</f>
        <v/>
      </c>
      <c r="K179" s="12" t="e">
        <f>IF(HayMonth20=3,I179*J179*(VLOOKUP(H179,FORAGE2,12)+VLOOKUP(H179,FORAGE2,13)+VLOOKUP(H179,FORAGE2,14)),IF(HayMonth20=4,I179*J179*(VLOOKUP(H179,FORAGE2,12)+VLOOKUP(H179,FORAGE2,13)+VLOOKUP(H179,FORAGE2,14)+VLOOKUP(H179,FORAGE2,3)),IF(HayMonth20=5,I179*J179*(VLOOKUP(H179,FORAGE2,12)+VLOOKUP(H179,FORAGE2,13)+VLOOKUP(H179,FORAGE2,14)+VLOOKUP(H179,FORAGE2,3)+VLOOKUP(H179,FORAGE2,4)),IF(HayMonth20=6,I179*J179*(VLOOKUP(H179,FORAGE2,12)+VLOOKUP(H179,FORAGE2,13)+VLOOKUP(H179,FORAGE2,14)+VLOOKUP(H179,FORAGE2,3)+VLOOKUP(H179,FORAGE2,4)+VLOOKUP(H179,FORAGE2,5)),IF(HayMonth20=7,I179*J179*(VLOOKUP(H179,FORAGE2,12)+VLOOKUP(H179,FORAGE2,13)+VLOOKUP(H179,FORAGE2,14)+VLOOKUP(H179,FORAGE2,3)+VLOOKUP(H179,FORAGE2,4)+VLOOKUP(H179,FORAGE2,5)+VLOOKUP(H179,FORAGE2,6)), IF(HayMonth20=8,I179*J179*(VLOOKUP(H179,FORAGE2,12)+VLOOKUP(H179,FORAGE2,13)+VLOOKUP(H179,FORAGE2,14)+VLOOKUP(H179,FORAGE2,3)+VLOOKUP(H179,FORAGE2,4)+VLOOKUP(H179,FORAGE2,5)+VLOOKUP(H179,FORAGE2,6)+VLOOKUP(H179,FORAGE2,7)),IF(HayMonth20=9,I179*J179*(VLOOKUP(H179,FORAGE2,12)+VLOOKUP(H179,FORAGE2,13)+VLOOKUP(H179,FORAGE2,14)+VLOOKUP(H179,FORAGE2,3)+VLOOKUP(H179,FORAGE2,4)+VLOOKUP(H179,FORAGE2,5)+VLOOKUP(H179,FORAGE2,6)+VLOOKUP(H179,FORAGE2,7)+VLOOKUP(H179,FORAGE2,8)), IF(HayMonth20=10,I179*J179*(VLOOKUP(H179,FORAGE2,12)+VLOOKUP(H179,FORAGE2,13)+VLOOKUP(H179,FORAGE2,14)+VLOOKUP(H179,FORAGE2,3)+VLOOKUP(H179,FORAGE2,4)+VLOOKUP(H179,FORAGE2,5)+VLOOKUP(H179,FORAGE2,6)+VLOOKUP(H179,FORAGE2,7)+VLOOKUP(H179,FORAGE2,8)+VLOOKUP(H179,FORAGE2,9)),I179*J179*(VLOOKUP(H179,FORAGE2,12)+VLOOKUP(H179,FORAGE2,13)+VLOOKUP(H179,FORAGE2,14)+VLOOKUP(H179,FORAGE2,3)+VLOOKUP(H179,FORAGE2,4)+VLOOKUP(H179,FORAGE2,5)+VLOOKUP(H179,FORAGE2,6)+VLOOKUP(H179,FORAGE2,7)+VLOOKUP(H179,FORAGE2,8)+VLOOKUP(H179,FORAGE2,9)+VLOOKUP(H179,FORAGE2,10)+VLOOKUP(H179,FORAGE2,11))))))))))</f>
        <v>#DIV/0!</v>
      </c>
      <c r="L179" s="98"/>
      <c r="M179" s="12" t="e">
        <f t="shared" si="5"/>
        <v>#DIV/0!</v>
      </c>
      <c r="N179" s="382" t="str">
        <f>IF(H179="","",VLOOKUP(H179,ForageGrowthCurves!$A$6:$P$29,16,FALSE))</f>
        <v/>
      </c>
      <c r="O179" s="800"/>
      <c r="P179" s="800"/>
      <c r="Q179" s="800"/>
      <c r="R179" s="800"/>
      <c r="S179" s="800"/>
      <c r="T179" s="800"/>
      <c r="U179" s="800"/>
      <c r="V179" s="800"/>
      <c r="W179" s="800"/>
      <c r="X179" s="800"/>
      <c r="Y179" s="800"/>
      <c r="Z179" s="794"/>
    </row>
    <row r="180" spans="5:26" ht="15" hidden="1" customHeight="1">
      <c r="E180" s="798"/>
      <c r="F180" s="800"/>
      <c r="G180" s="437">
        <f>Field21</f>
        <v>21</v>
      </c>
      <c r="H180" s="437">
        <f>Kind21</f>
        <v>0</v>
      </c>
      <c r="I180" s="437">
        <f>Acres21</f>
        <v>0</v>
      </c>
      <c r="J180" s="143" t="str">
        <f>Yield21</f>
        <v/>
      </c>
      <c r="K180" s="12" t="e">
        <f>IF(HayMonth21=3,I180*J180*(VLOOKUP(H180,FORAGE2,12)+VLOOKUP(H180,FORAGE2,13)+VLOOKUP(H180,FORAGE2,14)),IF(HayMonth21=4,I180*J180*(VLOOKUP(H180,FORAGE2,12)+VLOOKUP(H180,FORAGE2,13)+VLOOKUP(H180,FORAGE2,14)+VLOOKUP(H180,FORAGE2,3)),IF(HayMonth21=5,I180*J180*(VLOOKUP(H180,FORAGE2,12)+VLOOKUP(H180,FORAGE2,13)+VLOOKUP(H180,FORAGE2,14)+VLOOKUP(H180,FORAGE2,3)+VLOOKUP(H180,FORAGE2,4)),IF(HayMonth21=6,I180*J180*(VLOOKUP(H180,FORAGE2,12)+VLOOKUP(H180,FORAGE2,13)+VLOOKUP(H180,FORAGE2,14)+VLOOKUP(H180,FORAGE2,3)+VLOOKUP(H180,FORAGE2,4)+VLOOKUP(H180,FORAGE2,5)),IF(HayMonth21=7,I180*J180*(VLOOKUP(H180,FORAGE2,12)+VLOOKUP(H180,FORAGE2,13)+VLOOKUP(H180,FORAGE2,14)+VLOOKUP(H180,FORAGE2,3)+VLOOKUP(H180,FORAGE2,4)+VLOOKUP(H180,FORAGE2,5)+VLOOKUP(H180,FORAGE2,6)), IF(HayMonth21=8,I180*J180*(VLOOKUP(H180,FORAGE2,12)+VLOOKUP(H180,FORAGE2,13)+VLOOKUP(H180,FORAGE2,14)+VLOOKUP(H180,FORAGE2,3)+VLOOKUP(H180,FORAGE2,4)+VLOOKUP(H180,FORAGE2,5)+VLOOKUP(H180,FORAGE2,6)+VLOOKUP(H180,FORAGE2,7)),IF(HayMonth21=9,I180*J180*(VLOOKUP(H180,FORAGE2,12)+VLOOKUP(H180,FORAGE2,13)+VLOOKUP(H180,FORAGE2,14)+VLOOKUP(H180,FORAGE2,3)+VLOOKUP(H180,FORAGE2,4)+VLOOKUP(H180,FORAGE2,5)+VLOOKUP(H180,FORAGE2,6)+VLOOKUP(H180,FORAGE2,7)+VLOOKUP(H180,FORAGE2,8)), IF(HayMonth21=10,I180*J180*(VLOOKUP(H180,FORAGE2,12)+VLOOKUP(H180,FORAGE2,13)+VLOOKUP(H180,FORAGE2,14)+VLOOKUP(H180,FORAGE2,3)+VLOOKUP(H180,FORAGE2,4)+VLOOKUP(H180,FORAGE2,5)+VLOOKUP(H180,FORAGE2,6)+VLOOKUP(H180,FORAGE2,7)+VLOOKUP(H180,FORAGE2,8)+VLOOKUP(H180,FORAGE2,9)),I180*J180*(VLOOKUP(H180,FORAGE2,12)+VLOOKUP(H180,FORAGE2,13)+VLOOKUP(H180,FORAGE2,14)+VLOOKUP(H180,FORAGE2,3)+VLOOKUP(H180,FORAGE2,4)+VLOOKUP(H180,FORAGE2,5)+VLOOKUP(H180,FORAGE2,6)+VLOOKUP(H180,FORAGE2,7)+VLOOKUP(H180,FORAGE2,8)+VLOOKUP(H180,FORAGE2,9)+VLOOKUP(H180,FORAGE2,10)+VLOOKUP(H180,FORAGE2,11))))))))))</f>
        <v>#DIV/0!</v>
      </c>
      <c r="L180" s="98"/>
      <c r="M180" s="12" t="e">
        <f t="shared" si="5"/>
        <v>#DIV/0!</v>
      </c>
      <c r="N180" s="382" t="str">
        <f>IF(H180="","",VLOOKUP(H180,ForageGrowthCurves!$A$6:$P$29,16,FALSE))</f>
        <v/>
      </c>
      <c r="O180" s="800"/>
      <c r="P180" s="800"/>
      <c r="Q180" s="800"/>
      <c r="R180" s="800"/>
      <c r="S180" s="800"/>
      <c r="T180" s="800"/>
      <c r="U180" s="800"/>
      <c r="V180" s="800"/>
      <c r="W180" s="800"/>
      <c r="X180" s="800"/>
      <c r="Y180" s="800"/>
      <c r="Z180" s="794"/>
    </row>
    <row r="181" spans="5:26" ht="15" hidden="1" customHeight="1">
      <c r="E181" s="798"/>
      <c r="F181" s="800"/>
      <c r="G181" s="437">
        <f>Field22</f>
        <v>22</v>
      </c>
      <c r="H181" s="437">
        <f>Kind22</f>
        <v>0</v>
      </c>
      <c r="I181" s="437">
        <f>Acres22</f>
        <v>0</v>
      </c>
      <c r="J181" s="143" t="str">
        <f>Yield22</f>
        <v/>
      </c>
      <c r="K181" s="12" t="e">
        <f>IF(HayMonth22=3,I181*J181*(VLOOKUP(H181,FORAGE2,12)+VLOOKUP(H181,FORAGE2,13)+VLOOKUP(H181,FORAGE2,14)),IF(HayMonth22=4,I181*J181*(VLOOKUP(H181,FORAGE2,12)+VLOOKUP(H181,FORAGE2,13)+VLOOKUP(H181,FORAGE2,14)+VLOOKUP(H181,FORAGE2,3)),IF(HayMonth22=5,I181*J181*(VLOOKUP(H181,FORAGE2,12)+VLOOKUP(H181,FORAGE2,13)+VLOOKUP(H181,FORAGE2,14)+VLOOKUP(H181,FORAGE2,3)+VLOOKUP(H181,FORAGE2,4)),IF(HayMonth22=6,I181*J181*(VLOOKUP(H181,FORAGE2,12)+VLOOKUP(H181,FORAGE2,13)+VLOOKUP(H181,FORAGE2,14)+VLOOKUP(H181,FORAGE2,3)+VLOOKUP(H181,FORAGE2,4)+VLOOKUP(H181,FORAGE2,5)),IF(HayMonth22=7,I181*J181*(VLOOKUP(H181,FORAGE2,12)+VLOOKUP(H181,FORAGE2,13)+VLOOKUP(H181,FORAGE2,14)+VLOOKUP(H181,FORAGE2,3)+VLOOKUP(H181,FORAGE2,4)+VLOOKUP(H181,FORAGE2,5)+VLOOKUP(H181,FORAGE2,6)), IF(HayMonth22=8,I181*J181*(VLOOKUP(H181,FORAGE2,12)+VLOOKUP(H181,FORAGE2,13)+VLOOKUP(H181,FORAGE2,14)+VLOOKUP(H181,FORAGE2,3)+VLOOKUP(H181,FORAGE2,4)+VLOOKUP(H181,FORAGE2,5)+VLOOKUP(H181,FORAGE2,6)+VLOOKUP(H181,FORAGE2,7)),IF(HayMonth22=9,I181*J181*(VLOOKUP(H181,FORAGE2,12)+VLOOKUP(H181,FORAGE2,13)+VLOOKUP(H181,FORAGE2,14)+VLOOKUP(H181,FORAGE2,3)+VLOOKUP(H181,FORAGE2,4)+VLOOKUP(H181,FORAGE2,5)+VLOOKUP(H181,FORAGE2,6)+VLOOKUP(H181,FORAGE2,7)+VLOOKUP(H181,FORAGE2,8)), IF(HayMonth22=10,I181*J181*(VLOOKUP(H181,FORAGE2,12)+VLOOKUP(H181,FORAGE2,13)+VLOOKUP(H181,FORAGE2,14)+VLOOKUP(H181,FORAGE2,3)+VLOOKUP(H181,FORAGE2,4)+VLOOKUP(H181,FORAGE2,5)+VLOOKUP(H181,FORAGE2,6)+VLOOKUP(H181,FORAGE2,7)+VLOOKUP(H181,FORAGE2,8)+VLOOKUP(H181,FORAGE2,9)),I181*J181*(VLOOKUP(H181,FORAGE2,12)+VLOOKUP(H181,FORAGE2,13)+VLOOKUP(H181,FORAGE2,14)+VLOOKUP(H181,FORAGE2,3)+VLOOKUP(H181,FORAGE2,4)+VLOOKUP(H181,FORAGE2,5)+VLOOKUP(H181,FORAGE2,6)+VLOOKUP(H181,FORAGE2,7)+VLOOKUP(H181,FORAGE2,8)+VLOOKUP(H181,FORAGE2,9)+VLOOKUP(H181,FORAGE2,10)+VLOOKUP(H181,FORAGE2,11))))))))))</f>
        <v>#DIV/0!</v>
      </c>
      <c r="L181" s="98"/>
      <c r="M181" s="12" t="e">
        <f t="shared" si="5"/>
        <v>#DIV/0!</v>
      </c>
      <c r="N181" s="382" t="str">
        <f>IF(H181="","",VLOOKUP(H181,ForageGrowthCurves!$A$6:$P$29,16,FALSE))</f>
        <v/>
      </c>
      <c r="O181" s="800"/>
      <c r="P181" s="800"/>
      <c r="Q181" s="800"/>
      <c r="R181" s="800"/>
      <c r="S181" s="800"/>
      <c r="T181" s="800"/>
      <c r="U181" s="800"/>
      <c r="V181" s="800"/>
      <c r="W181" s="800"/>
      <c r="X181" s="800"/>
      <c r="Y181" s="800"/>
      <c r="Z181" s="794"/>
    </row>
    <row r="182" spans="5:26" ht="15" hidden="1" customHeight="1">
      <c r="E182" s="798"/>
      <c r="F182" s="800"/>
      <c r="G182" s="437">
        <f>Field23</f>
        <v>23</v>
      </c>
      <c r="H182" s="437">
        <f>Kind23</f>
        <v>0</v>
      </c>
      <c r="I182" s="437">
        <f>Acres23</f>
        <v>0</v>
      </c>
      <c r="J182" s="143" t="str">
        <f>Yield23</f>
        <v/>
      </c>
      <c r="K182" s="12" t="e">
        <f>IF(HayMonth23=3,I182*J182*(VLOOKUP(H182,FORAGE2,12)+VLOOKUP(H182,FORAGE2,13)+VLOOKUP(H182,FORAGE2,14)),IF(HayMonth23=4,I182*J182*(VLOOKUP(H182,FORAGE2,12)+VLOOKUP(H182,FORAGE2,13)+VLOOKUP(H182,FORAGE2,14)+VLOOKUP(H182,FORAGE2,3)),IF(HayMonth23=5,I182*J182*(VLOOKUP(H182,FORAGE2,12)+VLOOKUP(H182,FORAGE2,13)+VLOOKUP(H182,FORAGE2,14)+VLOOKUP(H182,FORAGE2,3)+VLOOKUP(H182,FORAGE2,4)),IF(HayMonth23=6,I182*J182*(VLOOKUP(H182,FORAGE2,12)+VLOOKUP(H182,FORAGE2,13)+VLOOKUP(H182,FORAGE2,14)+VLOOKUP(H182,FORAGE2,3)+VLOOKUP(H182,FORAGE2,4)+VLOOKUP(H182,FORAGE2,5)),IF(HayMonth23=7,I182*J182*(VLOOKUP(H182,FORAGE2,12)+VLOOKUP(H182,FORAGE2,13)+VLOOKUP(H182,FORAGE2,14)+VLOOKUP(H182,FORAGE2,3)+VLOOKUP(H182,FORAGE2,4)+VLOOKUP(H182,FORAGE2,5)+VLOOKUP(H182,FORAGE2,6)), IF(HayMonth23=8,I182*J182*(VLOOKUP(H182,FORAGE2,12)+VLOOKUP(H182,FORAGE2,13)+VLOOKUP(H182,FORAGE2,14)+VLOOKUP(H182,FORAGE2,3)+VLOOKUP(H182,FORAGE2,4)+VLOOKUP(H182,FORAGE2,5)+VLOOKUP(H182,FORAGE2,6)+VLOOKUP(H182,FORAGE2,7)),IF(HayMonth23=9,I182*J182*(VLOOKUP(H182,FORAGE2,12)+VLOOKUP(H182,FORAGE2,13)+VLOOKUP(H182,FORAGE2,14)+VLOOKUP(H182,FORAGE2,3)+VLOOKUP(H182,FORAGE2,4)+VLOOKUP(H182,FORAGE2,5)+VLOOKUP(H182,FORAGE2,6)+VLOOKUP(H182,FORAGE2,7)+VLOOKUP(H182,FORAGE2,8)), IF(HayMonth23=10,I182*J182*(VLOOKUP(H182,FORAGE2,12)+VLOOKUP(H182,FORAGE2,13)+VLOOKUP(H182,FORAGE2,14)+VLOOKUP(H182,FORAGE2,3)+VLOOKUP(H182,FORAGE2,4)+VLOOKUP(H182,FORAGE2,5)+VLOOKUP(H182,FORAGE2,6)+VLOOKUP(H182,FORAGE2,7)+VLOOKUP(H182,FORAGE2,8)+VLOOKUP(H182,FORAGE2,9)),I182*J182*(VLOOKUP(H182,FORAGE2,12)+VLOOKUP(H182,FORAGE2,13)+VLOOKUP(H182,FORAGE2,14)+VLOOKUP(H182,FORAGE2,3)+VLOOKUP(H182,FORAGE2,4)+VLOOKUP(H182,FORAGE2,5)+VLOOKUP(H182,FORAGE2,6)+VLOOKUP(H182,FORAGE2,7)+VLOOKUP(H182,FORAGE2,8)+VLOOKUP(H182,FORAGE2,9)+VLOOKUP(H182,FORAGE2,10)+VLOOKUP(H182,FORAGE2,11))))))))))</f>
        <v>#DIV/0!</v>
      </c>
      <c r="L182" s="98"/>
      <c r="M182" s="12" t="e">
        <f t="shared" si="5"/>
        <v>#DIV/0!</v>
      </c>
      <c r="N182" s="382" t="str">
        <f>IF(H182="","",VLOOKUP(H182,ForageGrowthCurves!$A$6:$P$29,16,FALSE))</f>
        <v/>
      </c>
      <c r="O182" s="800"/>
      <c r="P182" s="800"/>
      <c r="Q182" s="800"/>
      <c r="R182" s="800"/>
      <c r="S182" s="800"/>
      <c r="T182" s="800"/>
      <c r="U182" s="800"/>
      <c r="V182" s="800"/>
      <c r="W182" s="800"/>
      <c r="X182" s="800"/>
      <c r="Y182" s="800"/>
      <c r="Z182" s="794"/>
    </row>
    <row r="183" spans="5:26" ht="15" hidden="1" customHeight="1">
      <c r="E183" s="798"/>
      <c r="F183" s="800"/>
      <c r="G183" s="437">
        <f>Field24</f>
        <v>24</v>
      </c>
      <c r="H183" s="437">
        <f>Kind24</f>
        <v>0</v>
      </c>
      <c r="I183" s="437">
        <f>Acres24</f>
        <v>0</v>
      </c>
      <c r="J183" s="143" t="str">
        <f>Yield24</f>
        <v/>
      </c>
      <c r="K183" s="12" t="e">
        <f>IF(HayMonth24=3,I183*J183*(VLOOKUP(H183,FORAGE2,12)+VLOOKUP(H183,FORAGE2,13)+VLOOKUP(H183,FORAGE2,14)),IF(HayMonth24=4,I183*J183*(VLOOKUP(H183,FORAGE2,12)+VLOOKUP(H183,FORAGE2,13)+VLOOKUP(H183,FORAGE2,14)+VLOOKUP(H183,FORAGE2,3)),IF(HayMonth24=5,I183*J183*(VLOOKUP(H183,FORAGE2,12)+VLOOKUP(H183,FORAGE2,13)+VLOOKUP(H183,FORAGE2,14)+VLOOKUP(H183,FORAGE2,3)+VLOOKUP(H183,FORAGE2,4)),IF(HayMonth24=6,I183*J183*(VLOOKUP(H183,FORAGE2,12)+VLOOKUP(H183,FORAGE2,13)+VLOOKUP(H183,FORAGE2,14)+VLOOKUP(H183,FORAGE2,3)+VLOOKUP(H183,FORAGE2,4)+VLOOKUP(H183,FORAGE2,5)),IF(HayMonth24=7,I183*J183*(VLOOKUP(H183,FORAGE2,12)+VLOOKUP(H183,FORAGE2,13)+VLOOKUP(H183,FORAGE2,14)+VLOOKUP(H183,FORAGE2,3)+VLOOKUP(H183,FORAGE2,4)+VLOOKUP(H183,FORAGE2,5)+VLOOKUP(H183,FORAGE2,6)), IF(HayMonth24=8,I183*J183*(VLOOKUP(H183,FORAGE2,12)+VLOOKUP(H183,FORAGE2,13)+VLOOKUP(H183,FORAGE2,14)+VLOOKUP(H183,FORAGE2,3)+VLOOKUP(H183,FORAGE2,4)+VLOOKUP(H183,FORAGE2,5)+VLOOKUP(H183,FORAGE2,6)+VLOOKUP(H183,FORAGE2,7)),IF(HayMonth24=9,I183*J183*(VLOOKUP(H183,FORAGE2,12)+VLOOKUP(H183,FORAGE2,13)+VLOOKUP(H183,FORAGE2,14)+VLOOKUP(H183,FORAGE2,3)+VLOOKUP(H183,FORAGE2,4)+VLOOKUP(H183,FORAGE2,5)+VLOOKUP(H183,FORAGE2,6)+VLOOKUP(H183,FORAGE2,7)+VLOOKUP(H183,FORAGE2,8)), IF(HayMonth24=10,I183*J183*(VLOOKUP(H183,FORAGE2,12)+VLOOKUP(H183,FORAGE2,13)+VLOOKUP(H183,FORAGE2,14)+VLOOKUP(H183,FORAGE2,3)+VLOOKUP(H183,FORAGE2,4)+VLOOKUP(H183,FORAGE2,5)+VLOOKUP(H183,FORAGE2,6)+VLOOKUP(H183,FORAGE2,7)+VLOOKUP(H183,FORAGE2,8)+VLOOKUP(H183,FORAGE2,9)),I183*J183*(VLOOKUP(H183,FORAGE2,12)+VLOOKUP(H183,FORAGE2,13)+VLOOKUP(H183,FORAGE2,14)+VLOOKUP(H183,FORAGE2,3)+VLOOKUP(H183,FORAGE2,4)+VLOOKUP(H183,FORAGE2,5)+VLOOKUP(H183,FORAGE2,6)+VLOOKUP(H183,FORAGE2,7)+VLOOKUP(H183,FORAGE2,8)+VLOOKUP(H183,FORAGE2,9)+VLOOKUP(H183,FORAGE2,10)+VLOOKUP(H183,FORAGE2,11))))))))))</f>
        <v>#DIV/0!</v>
      </c>
      <c r="L183" s="98"/>
      <c r="M183" s="12" t="e">
        <f t="shared" si="5"/>
        <v>#DIV/0!</v>
      </c>
      <c r="N183" s="382" t="str">
        <f>IF(H183="","",VLOOKUP(H183,ForageGrowthCurves!$A$6:$P$29,16,FALSE))</f>
        <v/>
      </c>
      <c r="O183" s="800"/>
      <c r="P183" s="800"/>
      <c r="Q183" s="800"/>
      <c r="R183" s="800"/>
      <c r="S183" s="800"/>
      <c r="T183" s="800"/>
      <c r="U183" s="800"/>
      <c r="V183" s="800"/>
      <c r="W183" s="800"/>
      <c r="X183" s="800"/>
      <c r="Y183" s="800"/>
      <c r="Z183" s="794"/>
    </row>
    <row r="184" spans="5:26" ht="15" hidden="1" customHeight="1">
      <c r="E184" s="798"/>
      <c r="F184" s="800"/>
      <c r="G184" s="804"/>
      <c r="H184" s="836"/>
      <c r="I184" s="836"/>
      <c r="J184" s="810"/>
      <c r="K184" s="810"/>
      <c r="L184" s="809"/>
      <c r="M184" s="810"/>
      <c r="N184" s="837"/>
      <c r="O184" s="800"/>
      <c r="P184" s="800"/>
      <c r="Q184" s="800"/>
      <c r="R184" s="800"/>
      <c r="S184" s="800"/>
      <c r="T184" s="800"/>
      <c r="U184" s="800"/>
      <c r="V184" s="800"/>
      <c r="W184" s="800"/>
      <c r="X184" s="800"/>
      <c r="Y184" s="800"/>
      <c r="Z184" s="794"/>
    </row>
    <row r="185" spans="5:26" hidden="1">
      <c r="E185" s="798"/>
      <c r="F185" s="800"/>
      <c r="G185" s="384"/>
      <c r="H185" s="385" t="s">
        <v>285</v>
      </c>
      <c r="I185" s="386">
        <f>SUBTOTAL(109,I160:I183)</f>
        <v>0</v>
      </c>
      <c r="J185" s="387"/>
      <c r="K185" s="388">
        <f>SUBTOTAL(109,K160:K183)</f>
        <v>0</v>
      </c>
      <c r="L185" s="389"/>
      <c r="M185" s="388">
        <f>SUBTOTAL(109,M160:M183)</f>
        <v>0</v>
      </c>
      <c r="N185" s="390"/>
      <c r="O185" s="800"/>
      <c r="P185" s="800"/>
      <c r="Q185" s="800"/>
      <c r="R185" s="800"/>
      <c r="S185" s="800"/>
      <c r="T185" s="800"/>
      <c r="U185" s="800"/>
      <c r="V185" s="800"/>
      <c r="W185" s="800"/>
      <c r="X185" s="800"/>
      <c r="Y185" s="800"/>
      <c r="Z185" s="794"/>
    </row>
    <row r="186" spans="5:26" hidden="1">
      <c r="E186" s="798"/>
      <c r="F186" s="800"/>
      <c r="G186" s="838"/>
      <c r="H186" s="838"/>
      <c r="I186" s="838"/>
      <c r="J186" s="839"/>
      <c r="K186" s="840"/>
      <c r="L186" s="841"/>
      <c r="M186" s="840"/>
      <c r="N186" s="842"/>
      <c r="O186" s="800"/>
      <c r="P186" s="800"/>
      <c r="Q186" s="800"/>
      <c r="R186" s="800"/>
      <c r="S186" s="800"/>
      <c r="T186" s="800"/>
      <c r="U186" s="800"/>
      <c r="V186" s="800"/>
      <c r="W186" s="800"/>
      <c r="X186" s="800"/>
      <c r="Y186" s="800"/>
      <c r="Z186" s="794"/>
    </row>
    <row r="187" spans="5:26" ht="33.75" hidden="1" customHeight="1" thickBot="1">
      <c r="E187" s="828"/>
      <c r="F187" s="801"/>
      <c r="G187" s="843" t="s">
        <v>437</v>
      </c>
      <c r="H187" s="843"/>
      <c r="I187" s="801"/>
      <c r="J187" s="844"/>
      <c r="K187" s="801"/>
      <c r="L187" s="801"/>
      <c r="M187" s="801"/>
      <c r="N187" s="845"/>
      <c r="O187" s="801"/>
      <c r="P187" s="801"/>
      <c r="Q187" s="801"/>
      <c r="R187" s="801"/>
      <c r="S187" s="801"/>
      <c r="T187" s="801"/>
      <c r="U187" s="801"/>
      <c r="V187" s="801"/>
      <c r="W187" s="801"/>
      <c r="X187" s="801"/>
      <c r="Y187" s="801"/>
      <c r="Z187" s="835"/>
    </row>
    <row r="188" spans="5:26" ht="20.25" customHeight="1" thickBot="1">
      <c r="E188" s="180"/>
      <c r="F188" s="147"/>
      <c r="G188" s="147"/>
      <c r="J188" s="314"/>
      <c r="N188" s="460"/>
      <c r="Z188" s="18"/>
    </row>
    <row r="189" spans="5:26" ht="23.25" hidden="1" customHeight="1">
      <c r="E189" s="813"/>
      <c r="F189" s="1946" t="s">
        <v>466</v>
      </c>
      <c r="G189" s="1946"/>
      <c r="H189" s="1946"/>
      <c r="I189" s="1946"/>
      <c r="J189" s="1946"/>
      <c r="K189" s="1946"/>
      <c r="L189" s="1946"/>
      <c r="M189" s="1946"/>
      <c r="N189" s="1946"/>
      <c r="O189" s="1946"/>
      <c r="P189" s="1946"/>
      <c r="Q189" s="1946"/>
      <c r="R189" s="1946"/>
      <c r="S189" s="1946"/>
      <c r="T189" s="1946"/>
      <c r="U189" s="1946"/>
      <c r="V189" s="1946"/>
      <c r="W189" s="1946"/>
      <c r="X189" s="1946"/>
      <c r="Y189" s="1946"/>
      <c r="Z189" s="817"/>
    </row>
    <row r="190" spans="5:26" ht="18" hidden="1">
      <c r="E190" s="814"/>
      <c r="F190" s="1944" t="s">
        <v>467</v>
      </c>
      <c r="G190" s="1944"/>
      <c r="H190" s="1944"/>
      <c r="I190" s="1944"/>
      <c r="J190" s="1944"/>
      <c r="K190" s="1944"/>
      <c r="L190" s="1944"/>
      <c r="M190" s="1944"/>
      <c r="N190" s="1944"/>
      <c r="O190" s="1944"/>
      <c r="P190" s="1944"/>
      <c r="Q190" s="1944"/>
      <c r="R190" s="1944"/>
      <c r="S190" s="1944"/>
      <c r="T190" s="1944"/>
      <c r="U190" s="1944"/>
      <c r="V190" s="1944"/>
      <c r="W190" s="1944"/>
      <c r="X190" s="1944"/>
      <c r="Y190" s="1944"/>
      <c r="Z190" s="818"/>
    </row>
    <row r="191" spans="5:26" ht="18" hidden="1">
      <c r="E191" s="814"/>
      <c r="F191" s="1901" t="str">
        <f>IF(OR(AND(SeasonalDairyCheck=FALSE,AnnualDairyCheck=FALSE,BullsCheck=FALSE,CowCalf1Check=FALSE,CowCalf2Check=FALSE,CowCalf3Check=FALSE,HorsesCheck=FALSE),(AND(Calculations!B72=FALSE,Calculations!B77=FALSE,Calculations!B82=FALSE,Calculations!B100=FALSE,Calculations!H45=FALSE,Calculations!G50=FALSE,Calculations!H54=FALSE,Calculations!B56=FALSE,Calculations!B58=FALSE))),"There are currently no livestock classes selected to utilize alternative pasture","")</f>
        <v>There are currently no livestock classes selected to utilize alternative pasture</v>
      </c>
      <c r="G191" s="1901"/>
      <c r="H191" s="1901"/>
      <c r="I191" s="1901"/>
      <c r="J191" s="1901"/>
      <c r="K191" s="1901"/>
      <c r="L191" s="1901"/>
      <c r="M191" s="1901"/>
      <c r="N191" s="1901"/>
      <c r="O191" s="1901"/>
      <c r="P191" s="1901"/>
      <c r="Q191" s="1901"/>
      <c r="R191" s="1901"/>
      <c r="S191" s="1901"/>
      <c r="T191" s="1901"/>
      <c r="U191" s="1901"/>
      <c r="V191" s="1901"/>
      <c r="W191" s="1901"/>
      <c r="X191" s="1901"/>
      <c r="Y191" s="1901"/>
      <c r="Z191" s="818"/>
    </row>
    <row r="192" spans="5:26" ht="18" hidden="1">
      <c r="E192" s="814"/>
      <c r="F192" s="1901" t="str">
        <f>IF(OR(AND(Calculations!B72=TRUE,CowCalf1Check=TRUE),AND(Calculations!B77=TRUE,CowCalf2Check=TRUE),AND(Calculations!B82=TRUE,CowCalf3Check=TRUE),AND(Calculations!B100=TRUE,HorsesCheck=TRUE),AND(Calculations!H45=TRUE,SeasonalDairyCheck=TRUE),AND(Calculations!G50=TRUE,AnnualDairyCheck=TRUE),AND(Calculations!H54=TRUE,AnnualDairyCheck=TRUE),AND(Calculations!B56=TRUE,BullsCheck=TRUE),AND(Calculations!B58=TRUE,BullsCheck=TRUE)),"The livestock class(es) that have Alternative Pasture selected as part of the management is(are):","")</f>
        <v/>
      </c>
      <c r="G192" s="1901"/>
      <c r="H192" s="1901"/>
      <c r="I192" s="1901"/>
      <c r="J192" s="1901"/>
      <c r="K192" s="1901"/>
      <c r="L192" s="1901"/>
      <c r="M192" s="1901"/>
      <c r="N192" s="1901"/>
      <c r="O192" s="1901"/>
      <c r="P192" s="1901"/>
      <c r="Q192" s="1901"/>
      <c r="R192" s="1901"/>
      <c r="S192" s="1901"/>
      <c r="T192" s="1901"/>
      <c r="U192" s="1901"/>
      <c r="V192" s="1901"/>
      <c r="W192" s="1901"/>
      <c r="X192" s="1901"/>
      <c r="Y192" s="1901"/>
      <c r="Z192" s="818"/>
    </row>
    <row r="193" spans="5:81" ht="32.25" hidden="1" customHeight="1" thickBot="1">
      <c r="E193" s="814"/>
      <c r="F193" s="815"/>
      <c r="G193" s="816"/>
      <c r="H193" s="816"/>
      <c r="I193" s="816"/>
      <c r="J193" s="816"/>
      <c r="K193" s="877"/>
      <c r="L193" s="876" t="str">
        <f>IF(AND(Calculations!B72=TRUE,CowCalf1Check=TRUE),"Cow Calf Herd 1","")</f>
        <v/>
      </c>
      <c r="M193" s="876" t="str">
        <f>IF(AND(Calculations!B77=TRUE,CowCalf2Check=TRUE),"Cow Calf Herd 2","")</f>
        <v/>
      </c>
      <c r="N193" s="876" t="str">
        <f>IF(AND(Calculations!B82=TRUE,CowCalf3Check=TRUE),"Cow Calf Herd 3","")</f>
        <v/>
      </c>
      <c r="O193" s="875" t="str">
        <f>IF(AND(OR(Calculations!B56,Calculations!B58),BullsCheck=TRUE),"Bulls","")</f>
        <v/>
      </c>
      <c r="P193" s="876" t="str">
        <f>IF(AND(Calculations!H45=TRUE,SeasonalDairyCheck=TRUE),"Dairy, Seasonal","")</f>
        <v/>
      </c>
      <c r="Q193" s="876" t="str">
        <f>IF(AND(OR(Calculations!G50=TRUE,Calculations!H54=TRUE),AnnualDairyCheck=TRUE),"Dairy, Annual", "")</f>
        <v/>
      </c>
      <c r="R193" s="878" t="str">
        <f>IF(AND(Calculations!B100=TRUE,HorsesCheck),"Horses","")</f>
        <v/>
      </c>
      <c r="S193" s="816"/>
      <c r="T193" s="816"/>
      <c r="U193" s="816"/>
      <c r="V193" s="816"/>
      <c r="W193" s="816"/>
      <c r="X193" s="816"/>
      <c r="Y193" s="816"/>
      <c r="Z193" s="818"/>
    </row>
    <row r="194" spans="5:81" ht="85.25" hidden="1" customHeight="1" thickBot="1">
      <c r="E194" s="820"/>
      <c r="F194" s="1879" t="s">
        <v>526</v>
      </c>
      <c r="G194" s="1880"/>
      <c r="H194" s="1880"/>
      <c r="I194" s="1880"/>
      <c r="J194" s="1880"/>
      <c r="K194" s="1880"/>
      <c r="L194" s="1880"/>
      <c r="M194" s="1880"/>
      <c r="N194" s="1880"/>
      <c r="O194" s="1880"/>
      <c r="P194" s="1880"/>
      <c r="Q194" s="1880"/>
      <c r="R194" s="1880"/>
      <c r="S194" s="1880"/>
      <c r="T194" s="1880"/>
      <c r="U194" s="1880"/>
      <c r="V194" s="1880"/>
      <c r="W194" s="1880"/>
      <c r="X194" s="1880"/>
      <c r="Y194" s="1881"/>
      <c r="Z194" s="818"/>
    </row>
    <row r="195" spans="5:81" hidden="1">
      <c r="E195" s="814"/>
      <c r="F195" s="821"/>
      <c r="G195" s="821"/>
      <c r="H195" s="821"/>
      <c r="I195" s="821"/>
      <c r="J195" s="821"/>
      <c r="K195" s="821"/>
      <c r="L195" s="821"/>
      <c r="M195" s="821"/>
      <c r="N195" s="821"/>
      <c r="O195" s="821"/>
      <c r="P195" s="821"/>
      <c r="Q195" s="821"/>
      <c r="R195" s="821"/>
      <c r="S195" s="821"/>
      <c r="T195" s="821"/>
      <c r="U195" s="821"/>
      <c r="V195" s="821"/>
      <c r="W195" s="821"/>
      <c r="X195" s="821"/>
      <c r="Y195" s="821"/>
      <c r="Z195" s="818"/>
    </row>
    <row r="196" spans="5:81" ht="16.5" hidden="1" customHeight="1">
      <c r="E196" s="1882" t="s">
        <v>278</v>
      </c>
      <c r="F196" s="1883"/>
      <c r="G196" s="150"/>
      <c r="H196" s="118"/>
      <c r="I196" s="118"/>
      <c r="J196" s="119"/>
      <c r="K196" s="119" t="s">
        <v>76</v>
      </c>
      <c r="L196" s="120" t="s">
        <v>86</v>
      </c>
      <c r="M196" s="121"/>
      <c r="N196" s="1884" t="s">
        <v>383</v>
      </c>
      <c r="O196" s="1884"/>
      <c r="P196" s="1884"/>
      <c r="Q196" s="1884"/>
      <c r="R196" s="1884"/>
      <c r="S196" s="1884"/>
      <c r="T196" s="1884"/>
      <c r="U196" s="1884"/>
      <c r="V196" s="1884"/>
      <c r="W196" s="1884"/>
      <c r="X196" s="1884"/>
      <c r="Y196" s="1885"/>
      <c r="Z196" s="818"/>
    </row>
    <row r="197" spans="5:81" ht="16.5" hidden="1" customHeight="1">
      <c r="E197" s="1882"/>
      <c r="F197" s="1883"/>
      <c r="G197" s="122" t="s">
        <v>57</v>
      </c>
      <c r="H197" s="306" t="s">
        <v>79</v>
      </c>
      <c r="I197" s="108" t="s">
        <v>63</v>
      </c>
      <c r="J197" s="108" t="s">
        <v>447</v>
      </c>
      <c r="K197" s="901" t="s">
        <v>64</v>
      </c>
      <c r="L197" s="113" t="s">
        <v>77</v>
      </c>
      <c r="M197" s="116" t="s">
        <v>78</v>
      </c>
      <c r="N197" s="1886"/>
      <c r="O197" s="1886"/>
      <c r="P197" s="1886"/>
      <c r="Q197" s="1886"/>
      <c r="R197" s="1886"/>
      <c r="S197" s="1886"/>
      <c r="T197" s="1886"/>
      <c r="U197" s="1886"/>
      <c r="V197" s="1886"/>
      <c r="W197" s="1886"/>
      <c r="X197" s="1886"/>
      <c r="Y197" s="1887"/>
      <c r="Z197" s="818"/>
    </row>
    <row r="198" spans="5:81" ht="24.75" hidden="1" customHeight="1">
      <c r="E198" s="1882"/>
      <c r="F198" s="1883"/>
      <c r="G198" s="123" t="s">
        <v>36</v>
      </c>
      <c r="H198" s="307" t="s">
        <v>412</v>
      </c>
      <c r="I198" s="114" t="s">
        <v>80</v>
      </c>
      <c r="J198" s="114" t="s">
        <v>283</v>
      </c>
      <c r="K198" s="114" t="s">
        <v>81</v>
      </c>
      <c r="L198" s="115" t="s">
        <v>82</v>
      </c>
      <c r="M198" s="117" t="s">
        <v>81</v>
      </c>
      <c r="N198" s="114" t="s">
        <v>276</v>
      </c>
      <c r="O198" s="114" t="s">
        <v>277</v>
      </c>
      <c r="P198" s="114" t="s">
        <v>88</v>
      </c>
      <c r="Q198" s="114" t="s">
        <v>89</v>
      </c>
      <c r="R198" s="114" t="s">
        <v>39</v>
      </c>
      <c r="S198" s="114" t="s">
        <v>90</v>
      </c>
      <c r="T198" s="114" t="s">
        <v>91</v>
      </c>
      <c r="U198" s="114" t="s">
        <v>92</v>
      </c>
      <c r="V198" s="114" t="s">
        <v>93</v>
      </c>
      <c r="W198" s="114" t="s">
        <v>94</v>
      </c>
      <c r="X198" s="114" t="s">
        <v>95</v>
      </c>
      <c r="Y198" s="114" t="s">
        <v>96</v>
      </c>
      <c r="Z198" s="818"/>
    </row>
    <row r="199" spans="5:81" ht="16" hidden="1" customHeight="1" thickBot="1">
      <c r="E199" s="822"/>
      <c r="F199" s="823"/>
      <c r="G199" s="311"/>
      <c r="H199" s="311"/>
      <c r="I199" s="311"/>
      <c r="J199" s="312"/>
      <c r="K199" s="192">
        <f t="shared" ref="K199:K204" si="6">I199*J199</f>
        <v>0</v>
      </c>
      <c r="L199" s="313"/>
      <c r="M199" s="192">
        <f t="shared" ref="M199:M204" si="7">K199*L199/100</f>
        <v>0</v>
      </c>
      <c r="N199" s="192" t="str">
        <f t="shared" ref="N199:N204" si="8">IF($H199="","",VLOOKUP($H199,FORAGE2,3)*($M199))</f>
        <v/>
      </c>
      <c r="O199" s="192" t="str">
        <f t="shared" ref="O199:O204" si="9">IF($H199="","",VLOOKUP($H199,FORAGE2,4)*($M199))</f>
        <v/>
      </c>
      <c r="P199" s="192" t="str">
        <f t="shared" ref="P199:P204" si="10">IF($H199="","",VLOOKUP($H199,FORAGE2,5)*($M199))</f>
        <v/>
      </c>
      <c r="Q199" s="192" t="str">
        <f t="shared" ref="Q199:Q204" si="11">IF($H199="","",VLOOKUP($H199,FORAGE2,6)*($M199))</f>
        <v/>
      </c>
      <c r="R199" s="192" t="str">
        <f t="shared" ref="R199:R204" si="12">IF($H199="","",VLOOKUP($H199,FORAGE2,7)*($M199))</f>
        <v/>
      </c>
      <c r="S199" s="192" t="str">
        <f t="shared" ref="S199:S204" si="13">IF($H199="","",VLOOKUP($H199,FORAGE2,8)*($M199))</f>
        <v/>
      </c>
      <c r="T199" s="192" t="str">
        <f t="shared" ref="T199:T204" si="14">IF($H199="","",VLOOKUP($H199,FORAGE2,9)*($M199))</f>
        <v/>
      </c>
      <c r="U199" s="192" t="str">
        <f t="shared" ref="U199:U204" si="15">IF($H199="","",VLOOKUP($H199,FORAGE2,10)*($M199))</f>
        <v/>
      </c>
      <c r="V199" s="192" t="str">
        <f t="shared" ref="V199:V204" si="16">IF($H199="","",VLOOKUP($H199,FORAGE2,11)*($M199))</f>
        <v/>
      </c>
      <c r="W199" s="192" t="str">
        <f t="shared" ref="W199:W204" si="17">IF($H199="","",VLOOKUP($H199,FORAGE2,12)*($M199))</f>
        <v/>
      </c>
      <c r="X199" s="192" t="str">
        <f t="shared" ref="X199:X204" si="18">IF($H199="","",VLOOKUP($H199,FORAGE2,13)*($M199))</f>
        <v/>
      </c>
      <c r="Y199" s="192" t="str">
        <f t="shared" ref="Y199:Y204" si="19">IF($H199="","",VLOOKUP($H199,FORAGE2,14)*($M199))</f>
        <v/>
      </c>
      <c r="Z199" s="818"/>
    </row>
    <row r="200" spans="5:81" ht="16" hidden="1" customHeight="1" thickBot="1">
      <c r="E200" s="814"/>
      <c r="F200" s="823"/>
      <c r="G200" s="311"/>
      <c r="H200" s="311"/>
      <c r="I200" s="311"/>
      <c r="J200" s="312"/>
      <c r="K200" s="192">
        <f t="shared" si="6"/>
        <v>0</v>
      </c>
      <c r="L200" s="313"/>
      <c r="M200" s="192">
        <f t="shared" si="7"/>
        <v>0</v>
      </c>
      <c r="N200" s="192" t="str">
        <f t="shared" si="8"/>
        <v/>
      </c>
      <c r="O200" s="192" t="str">
        <f t="shared" si="9"/>
        <v/>
      </c>
      <c r="P200" s="192" t="str">
        <f t="shared" si="10"/>
        <v/>
      </c>
      <c r="Q200" s="192" t="str">
        <f t="shared" si="11"/>
        <v/>
      </c>
      <c r="R200" s="192" t="str">
        <f t="shared" si="12"/>
        <v/>
      </c>
      <c r="S200" s="192" t="str">
        <f t="shared" si="13"/>
        <v/>
      </c>
      <c r="T200" s="192" t="str">
        <f t="shared" si="14"/>
        <v/>
      </c>
      <c r="U200" s="192" t="str">
        <f t="shared" si="15"/>
        <v/>
      </c>
      <c r="V200" s="192" t="str">
        <f t="shared" si="16"/>
        <v/>
      </c>
      <c r="W200" s="192" t="str">
        <f t="shared" si="17"/>
        <v/>
      </c>
      <c r="X200" s="192" t="str">
        <f t="shared" si="18"/>
        <v/>
      </c>
      <c r="Y200" s="192" t="str">
        <f t="shared" si="19"/>
        <v/>
      </c>
      <c r="Z200" s="818"/>
    </row>
    <row r="201" spans="5:81" ht="16" hidden="1" customHeight="1" thickBot="1">
      <c r="E201" s="814"/>
      <c r="F201" s="823"/>
      <c r="G201" s="311"/>
      <c r="H201" s="311"/>
      <c r="I201" s="311"/>
      <c r="J201" s="312"/>
      <c r="K201" s="192">
        <f t="shared" si="6"/>
        <v>0</v>
      </c>
      <c r="L201" s="313"/>
      <c r="M201" s="192">
        <f t="shared" si="7"/>
        <v>0</v>
      </c>
      <c r="N201" s="192" t="str">
        <f t="shared" si="8"/>
        <v/>
      </c>
      <c r="O201" s="192" t="str">
        <f t="shared" si="9"/>
        <v/>
      </c>
      <c r="P201" s="192" t="str">
        <f t="shared" si="10"/>
        <v/>
      </c>
      <c r="Q201" s="192" t="str">
        <f t="shared" si="11"/>
        <v/>
      </c>
      <c r="R201" s="192" t="str">
        <f t="shared" si="12"/>
        <v/>
      </c>
      <c r="S201" s="192" t="str">
        <f t="shared" si="13"/>
        <v/>
      </c>
      <c r="T201" s="192" t="str">
        <f t="shared" si="14"/>
        <v/>
      </c>
      <c r="U201" s="192" t="str">
        <f t="shared" si="15"/>
        <v/>
      </c>
      <c r="V201" s="192" t="str">
        <f t="shared" si="16"/>
        <v/>
      </c>
      <c r="W201" s="192" t="str">
        <f t="shared" si="17"/>
        <v/>
      </c>
      <c r="X201" s="192" t="str">
        <f t="shared" si="18"/>
        <v/>
      </c>
      <c r="Y201" s="192" t="str">
        <f t="shared" si="19"/>
        <v/>
      </c>
      <c r="Z201" s="818"/>
    </row>
    <row r="202" spans="5:81" ht="16" hidden="1" customHeight="1" thickBot="1">
      <c r="E202" s="814"/>
      <c r="F202" s="823"/>
      <c r="G202" s="311"/>
      <c r="H202" s="311"/>
      <c r="I202" s="311"/>
      <c r="J202" s="312"/>
      <c r="K202" s="192">
        <f t="shared" si="6"/>
        <v>0</v>
      </c>
      <c r="L202" s="313"/>
      <c r="M202" s="192">
        <f t="shared" si="7"/>
        <v>0</v>
      </c>
      <c r="N202" s="192" t="str">
        <f t="shared" si="8"/>
        <v/>
      </c>
      <c r="O202" s="192" t="str">
        <f t="shared" si="9"/>
        <v/>
      </c>
      <c r="P202" s="192" t="str">
        <f t="shared" si="10"/>
        <v/>
      </c>
      <c r="Q202" s="192" t="str">
        <f t="shared" si="11"/>
        <v/>
      </c>
      <c r="R202" s="192" t="str">
        <f t="shared" si="12"/>
        <v/>
      </c>
      <c r="S202" s="192" t="str">
        <f t="shared" si="13"/>
        <v/>
      </c>
      <c r="T202" s="192" t="str">
        <f t="shared" si="14"/>
        <v/>
      </c>
      <c r="U202" s="192" t="str">
        <f t="shared" si="15"/>
        <v/>
      </c>
      <c r="V202" s="192" t="str">
        <f t="shared" si="16"/>
        <v/>
      </c>
      <c r="W202" s="192" t="str">
        <f t="shared" si="17"/>
        <v/>
      </c>
      <c r="X202" s="192" t="str">
        <f t="shared" si="18"/>
        <v/>
      </c>
      <c r="Y202" s="192" t="str">
        <f t="shared" si="19"/>
        <v/>
      </c>
      <c r="Z202" s="818"/>
    </row>
    <row r="203" spans="5:81" ht="16" hidden="1" customHeight="1" thickBot="1">
      <c r="E203" s="814"/>
      <c r="F203" s="823"/>
      <c r="G203" s="311"/>
      <c r="H203" s="311"/>
      <c r="I203" s="311"/>
      <c r="J203" s="312"/>
      <c r="K203" s="192">
        <f t="shared" si="6"/>
        <v>0</v>
      </c>
      <c r="L203" s="313"/>
      <c r="M203" s="192">
        <f t="shared" si="7"/>
        <v>0</v>
      </c>
      <c r="N203" s="192" t="str">
        <f t="shared" si="8"/>
        <v/>
      </c>
      <c r="O203" s="192" t="str">
        <f t="shared" si="9"/>
        <v/>
      </c>
      <c r="P203" s="192" t="str">
        <f t="shared" si="10"/>
        <v/>
      </c>
      <c r="Q203" s="192" t="str">
        <f t="shared" si="11"/>
        <v/>
      </c>
      <c r="R203" s="192" t="str">
        <f t="shared" si="12"/>
        <v/>
      </c>
      <c r="S203" s="192" t="str">
        <f t="shared" si="13"/>
        <v/>
      </c>
      <c r="T203" s="192" t="str">
        <f t="shared" si="14"/>
        <v/>
      </c>
      <c r="U203" s="192" t="str">
        <f t="shared" si="15"/>
        <v/>
      </c>
      <c r="V203" s="192" t="str">
        <f t="shared" si="16"/>
        <v/>
      </c>
      <c r="W203" s="192" t="str">
        <f t="shared" si="17"/>
        <v/>
      </c>
      <c r="X203" s="192" t="str">
        <f t="shared" si="18"/>
        <v/>
      </c>
      <c r="Y203" s="192" t="str">
        <f t="shared" si="19"/>
        <v/>
      </c>
      <c r="Z203" s="818"/>
    </row>
    <row r="204" spans="5:81" ht="16" hidden="1" customHeight="1">
      <c r="E204" s="814"/>
      <c r="F204" s="823"/>
      <c r="G204" s="311"/>
      <c r="H204" s="311"/>
      <c r="I204" s="311"/>
      <c r="J204" s="312"/>
      <c r="K204" s="192">
        <f t="shared" si="6"/>
        <v>0</v>
      </c>
      <c r="L204" s="313"/>
      <c r="M204" s="192">
        <f t="shared" si="7"/>
        <v>0</v>
      </c>
      <c r="N204" s="192" t="str">
        <f t="shared" si="8"/>
        <v/>
      </c>
      <c r="O204" s="192" t="str">
        <f t="shared" si="9"/>
        <v/>
      </c>
      <c r="P204" s="192" t="str">
        <f t="shared" si="10"/>
        <v/>
      </c>
      <c r="Q204" s="192" t="str">
        <f t="shared" si="11"/>
        <v/>
      </c>
      <c r="R204" s="192" t="str">
        <f t="shared" si="12"/>
        <v/>
      </c>
      <c r="S204" s="192" t="str">
        <f t="shared" si="13"/>
        <v/>
      </c>
      <c r="T204" s="192" t="str">
        <f t="shared" si="14"/>
        <v/>
      </c>
      <c r="U204" s="192" t="str">
        <f t="shared" si="15"/>
        <v/>
      </c>
      <c r="V204" s="192" t="str">
        <f t="shared" si="16"/>
        <v/>
      </c>
      <c r="W204" s="192" t="str">
        <f t="shared" si="17"/>
        <v/>
      </c>
      <c r="X204" s="192" t="str">
        <f t="shared" si="18"/>
        <v/>
      </c>
      <c r="Y204" s="192" t="str">
        <f t="shared" si="19"/>
        <v/>
      </c>
      <c r="Z204" s="818"/>
    </row>
    <row r="205" spans="5:81" ht="14.25" hidden="1" customHeight="1" thickBot="1">
      <c r="E205" s="824"/>
      <c r="F205" s="825"/>
      <c r="G205" s="826"/>
      <c r="H205" s="826"/>
      <c r="I205" s="826"/>
      <c r="J205" s="826"/>
      <c r="K205" s="826"/>
      <c r="L205" s="827"/>
      <c r="M205" s="826"/>
      <c r="N205" s="826"/>
      <c r="O205" s="826"/>
      <c r="P205" s="826"/>
      <c r="Q205" s="826"/>
      <c r="R205" s="826"/>
      <c r="S205" s="826"/>
      <c r="T205" s="826"/>
      <c r="U205" s="826"/>
      <c r="V205" s="826"/>
      <c r="W205" s="826"/>
      <c r="X205" s="826"/>
      <c r="Y205" s="826"/>
      <c r="Z205" s="819"/>
    </row>
    <row r="206" spans="5:81" ht="20.25" hidden="1" customHeight="1" thickBot="1">
      <c r="E206" s="44"/>
      <c r="F206" s="147"/>
      <c r="G206" s="462"/>
      <c r="H206" s="370"/>
      <c r="I206" s="370"/>
      <c r="J206" s="370"/>
      <c r="K206" s="370"/>
      <c r="L206" s="371"/>
      <c r="M206" s="370"/>
      <c r="N206" s="370"/>
      <c r="O206" s="370"/>
      <c r="P206" s="370"/>
      <c r="Q206" s="370"/>
      <c r="R206" s="370"/>
      <c r="S206" s="370"/>
      <c r="T206" s="370"/>
      <c r="U206" s="370"/>
      <c r="V206" s="370"/>
      <c r="W206" s="370"/>
      <c r="X206" s="370"/>
      <c r="Y206" s="370"/>
      <c r="Z206" s="372"/>
    </row>
    <row r="207" spans="5:81" ht="36" hidden="1" customHeight="1" thickBot="1">
      <c r="E207" s="797"/>
      <c r="F207" s="1878" t="s">
        <v>451</v>
      </c>
      <c r="G207" s="1878"/>
      <c r="H207" s="1878"/>
      <c r="I207" s="1878"/>
      <c r="J207" s="1878"/>
      <c r="K207" s="1878"/>
      <c r="L207" s="1878"/>
      <c r="M207" s="1878"/>
      <c r="N207" s="1878"/>
      <c r="O207" s="1878"/>
      <c r="P207" s="793"/>
      <c r="CB207" s="4"/>
      <c r="CC207" s="79"/>
    </row>
    <row r="208" spans="5:81" ht="98.25" hidden="1" customHeight="1" thickBot="1">
      <c r="E208" s="798"/>
      <c r="F208" s="799"/>
      <c r="G208" s="1875" t="s">
        <v>722</v>
      </c>
      <c r="H208" s="1876"/>
      <c r="I208" s="1876"/>
      <c r="J208" s="1876"/>
      <c r="K208" s="1876"/>
      <c r="L208" s="1876"/>
      <c r="M208" s="1876"/>
      <c r="N208" s="1876"/>
      <c r="O208" s="1877"/>
      <c r="P208" s="794"/>
      <c r="Q208" s="147"/>
      <c r="CB208" s="4"/>
      <c r="CC208" s="79"/>
    </row>
    <row r="209" spans="5:81" hidden="1">
      <c r="E209" s="798"/>
      <c r="F209" s="800"/>
      <c r="G209" s="812"/>
      <c r="H209" s="812"/>
      <c r="I209" s="812"/>
      <c r="J209" s="812"/>
      <c r="K209" s="812"/>
      <c r="L209" s="812"/>
      <c r="M209" s="812"/>
      <c r="N209" s="812"/>
      <c r="O209" s="812"/>
      <c r="P209" s="794"/>
      <c r="Q209" s="147"/>
      <c r="CB209" s="4"/>
      <c r="CC209" s="79"/>
    </row>
    <row r="210" spans="5:81" ht="15.75" hidden="1" customHeight="1">
      <c r="E210" s="1893" t="s">
        <v>278</v>
      </c>
      <c r="F210" s="1894"/>
      <c r="G210" s="391"/>
      <c r="H210" s="392"/>
      <c r="I210" s="373" t="s">
        <v>116</v>
      </c>
      <c r="J210" s="373"/>
      <c r="K210" s="373" t="s">
        <v>448</v>
      </c>
      <c r="L210" s="373" t="s">
        <v>76</v>
      </c>
      <c r="M210" s="373" t="s">
        <v>116</v>
      </c>
      <c r="N210" s="393"/>
      <c r="O210" s="394" t="s">
        <v>58</v>
      </c>
      <c r="P210" s="794"/>
      <c r="Q210" s="147"/>
      <c r="CB210" s="4"/>
      <c r="CC210" s="79"/>
    </row>
    <row r="211" spans="5:81" ht="15.75" hidden="1" customHeight="1">
      <c r="E211" s="1893"/>
      <c r="F211" s="1894"/>
      <c r="G211" s="377" t="s">
        <v>57</v>
      </c>
      <c r="H211" s="308" t="s">
        <v>79</v>
      </c>
      <c r="I211" s="108" t="s">
        <v>63</v>
      </c>
      <c r="J211" s="108" t="s">
        <v>447</v>
      </c>
      <c r="K211" s="308" t="s">
        <v>449</v>
      </c>
      <c r="L211" s="108" t="s">
        <v>64</v>
      </c>
      <c r="M211" s="108" t="s">
        <v>117</v>
      </c>
      <c r="N211" s="108" t="s">
        <v>286</v>
      </c>
      <c r="O211" s="378" t="s">
        <v>125</v>
      </c>
      <c r="P211" s="794"/>
      <c r="CB211" s="4"/>
      <c r="CC211" s="79"/>
    </row>
    <row r="212" spans="5:81" ht="24" hidden="1" customHeight="1">
      <c r="E212" s="1893"/>
      <c r="F212" s="1894"/>
      <c r="G212" s="379" t="s">
        <v>36</v>
      </c>
      <c r="H212" s="395" t="s">
        <v>412</v>
      </c>
      <c r="I212" s="114" t="s">
        <v>80</v>
      </c>
      <c r="J212" s="114" t="s">
        <v>283</v>
      </c>
      <c r="K212" s="855" t="s">
        <v>669</v>
      </c>
      <c r="L212" s="114" t="s">
        <v>81</v>
      </c>
      <c r="M212" s="114" t="s">
        <v>82</v>
      </c>
      <c r="N212" s="114" t="s">
        <v>81</v>
      </c>
      <c r="O212" s="380" t="s">
        <v>279</v>
      </c>
      <c r="P212" s="794"/>
      <c r="CB212" s="4"/>
      <c r="CC212" s="79"/>
    </row>
    <row r="213" spans="5:81" ht="16" hidden="1" customHeight="1">
      <c r="E213" s="798"/>
      <c r="F213" s="800"/>
      <c r="G213" s="846"/>
      <c r="H213" s="847"/>
      <c r="I213" s="311"/>
      <c r="J213" s="312"/>
      <c r="K213" s="312"/>
      <c r="L213" s="192" t="e">
        <f t="shared" ref="L213:L222" si="20">IF(K213=3,I213*J213*(VLOOKUP(H213,FORAGE2,12)+VLOOKUP(H213,FORAGE2,13)+VLOOKUP(H213,FORAGE2,14)),IF(K213=4,I213*J213*(VLOOKUP(H213,FORAGE2,12)+VLOOKUP(H213,FORAGE2,13)+VLOOKUP(H213,FORAGE2,14)+VLOOKUP(H213,FORAGE2,3)),IF(K213=5,I213*J213*(VLOOKUP(H213,FORAGE2,12)+VLOOKUP(H213,FORAGE2,13)+VLOOKUP(H213,FORAGE2,14)+VLOOKUP(H213,FORAGE2,3)+VLOOKUP(H213,FORAGE2,4)),IF(K213=6,I213*J213*(VLOOKUP(H213,FORAGE2,12)+VLOOKUP(H213,FORAGE2,13)+VLOOKUP(H213,FORAGE2,14)+VLOOKUP(H213,FORAGE2,3)+VLOOKUP(H213,FORAGE2,4)+VLOOKUP(H213,FORAGE2,5)),IF(K213=7,I213*J213*(VLOOKUP(H213,FORAGE2,12)+VLOOKUP(H213,FORAGE2,13)+VLOOKUP(H213,FORAGE2,14)+VLOOKUP(H213,FORAGE2,3)+VLOOKUP(H213,FORAGE2,4)+VLOOKUP(H213,FORAGE2,5)+VLOOKUP(H213,FORAGE2,6)), IF(K213=8,I213*J213*(VLOOKUP(H213,FORAGE2,12)+VLOOKUP(H213,FORAGE2,13)+VLOOKUP(H213,FORAGE2,14)+VLOOKUP(H213,FORAGE2,3)+VLOOKUP(H213,FORAGE2,4)+VLOOKUP(H213,FORAGE2,5)+VLOOKUP(H213,FORAGE2,6)+VLOOKUP(H213,FORAGE2,7)),IF(K213=9,I213*J213*(VLOOKUP(H213,FORAGE2,12)+VLOOKUP(H213,FORAGE2,13)+VLOOKUP(H213,FORAGE2,14)+VLOOKUP(H213,FORAGE2,3)+VLOOKUP(H213,FORAGE2,4)+VLOOKUP(H213,FORAGE2,5)+VLOOKUP(H213,FORAGE2,6)+VLOOKUP(H213,FORAGE2,7)+VLOOKUP(H213,FORAGE2,8)), IF(K213=10,I213*J213*(VLOOKUP(H213,FORAGE2,12)+VLOOKUP(H213,FORAGE2,13)+VLOOKUP(H213,FORAGE2,14)+VLOOKUP(H213,FORAGE2,3)+VLOOKUP(H213,FORAGE2,4)+VLOOKUP(H213,FORAGE2,5)+VLOOKUP(H213,FORAGE2,6)+VLOOKUP(H213,FORAGE2,7)+VLOOKUP(H213,FORAGE2,8)+VLOOKUP(H213,FORAGE2,9)),I213*J213*(VLOOKUP(H213,FORAGE2,12)+VLOOKUP(H213,FORAGE2,13)+VLOOKUP(H213,FORAGE2,14)+VLOOKUP(H213,FORAGE2,3)+VLOOKUP(H213,FORAGE2,4)+VLOOKUP(H213,FORAGE2,5)+VLOOKUP(H213,FORAGE2,6)+VLOOKUP(H213,FORAGE2,7)+VLOOKUP(H213,FORAGE2,8)+VLOOKUP(H213,FORAGE2,9)+VLOOKUP(H213,FORAGE2,10)+VLOOKUP(H213,FORAGE2,11))))))))))</f>
        <v>#DIV/0!</v>
      </c>
      <c r="M213" s="848"/>
      <c r="N213" s="192">
        <f>IF(H213="",0,L213*M213)</f>
        <v>0</v>
      </c>
      <c r="O213" s="397" t="str">
        <f>IF($H213="","",VLOOKUP($H213,ForageGrowthCurves!$A$6:$P$29,16))</f>
        <v/>
      </c>
      <c r="P213" s="795"/>
      <c r="Q213" s="147"/>
      <c r="CB213" s="4"/>
      <c r="CC213" s="79"/>
    </row>
    <row r="214" spans="5:81" ht="16" hidden="1" customHeight="1">
      <c r="E214" s="798"/>
      <c r="F214" s="800"/>
      <c r="G214" s="396"/>
      <c r="H214" s="193"/>
      <c r="I214" s="194"/>
      <c r="J214" s="195"/>
      <c r="K214" s="195"/>
      <c r="L214" s="192" t="e">
        <f t="shared" si="20"/>
        <v>#DIV/0!</v>
      </c>
      <c r="M214" s="196"/>
      <c r="N214" s="192">
        <f t="shared" ref="N214:N222" si="21">IF(H214="",0,L214*M214)</f>
        <v>0</v>
      </c>
      <c r="O214" s="397" t="str">
        <f>IF($H214="","",VLOOKUP($H214,ForageGrowthCurves!$A$6:$P$29,16))</f>
        <v/>
      </c>
      <c r="P214" s="795"/>
      <c r="CB214" s="4"/>
      <c r="CC214" s="79"/>
    </row>
    <row r="215" spans="5:81" ht="16" hidden="1" customHeight="1">
      <c r="E215" s="798"/>
      <c r="F215" s="800"/>
      <c r="G215" s="396"/>
      <c r="H215" s="193"/>
      <c r="I215" s="194"/>
      <c r="J215" s="195"/>
      <c r="K215" s="195"/>
      <c r="L215" s="192" t="e">
        <f t="shared" si="20"/>
        <v>#DIV/0!</v>
      </c>
      <c r="M215" s="196"/>
      <c r="N215" s="192">
        <f t="shared" si="21"/>
        <v>0</v>
      </c>
      <c r="O215" s="397" t="str">
        <f>IF($H215="","",VLOOKUP($H215,ForageGrowthCurves!$A$6:$P$29,16))</f>
        <v/>
      </c>
      <c r="P215" s="794"/>
      <c r="CB215" s="4"/>
      <c r="CC215" s="79"/>
    </row>
    <row r="216" spans="5:81" ht="16" hidden="1" customHeight="1">
      <c r="E216" s="798"/>
      <c r="F216" s="800"/>
      <c r="G216" s="396"/>
      <c r="H216" s="193"/>
      <c r="I216" s="194"/>
      <c r="J216" s="195"/>
      <c r="K216" s="195"/>
      <c r="L216" s="192" t="e">
        <f t="shared" si="20"/>
        <v>#DIV/0!</v>
      </c>
      <c r="M216" s="196"/>
      <c r="N216" s="192">
        <f t="shared" si="21"/>
        <v>0</v>
      </c>
      <c r="O216" s="397" t="str">
        <f>IF($H216="","",VLOOKUP($H216,ForageGrowthCurves!$A$6:$P$29,16))</f>
        <v/>
      </c>
      <c r="P216" s="794"/>
      <c r="CB216" s="4"/>
      <c r="CC216" s="79"/>
    </row>
    <row r="217" spans="5:81" ht="16" hidden="1" customHeight="1">
      <c r="E217" s="798"/>
      <c r="F217" s="800"/>
      <c r="G217" s="396"/>
      <c r="H217" s="193"/>
      <c r="I217" s="194"/>
      <c r="J217" s="195"/>
      <c r="K217" s="195"/>
      <c r="L217" s="192" t="e">
        <f t="shared" si="20"/>
        <v>#DIV/0!</v>
      </c>
      <c r="M217" s="196"/>
      <c r="N217" s="192">
        <f t="shared" si="21"/>
        <v>0</v>
      </c>
      <c r="O217" s="397" t="str">
        <f>IF($H217="","",VLOOKUP($H217,ForageGrowthCurves!$A$6:$P$29,16))</f>
        <v/>
      </c>
      <c r="P217" s="794"/>
      <c r="CB217" s="4"/>
      <c r="CC217" s="79"/>
    </row>
    <row r="218" spans="5:81" ht="16" hidden="1" customHeight="1">
      <c r="E218" s="798"/>
      <c r="F218" s="800"/>
      <c r="G218" s="396"/>
      <c r="H218" s="193"/>
      <c r="I218" s="194"/>
      <c r="J218" s="195"/>
      <c r="K218" s="195"/>
      <c r="L218" s="192" t="e">
        <f t="shared" si="20"/>
        <v>#DIV/0!</v>
      </c>
      <c r="M218" s="196"/>
      <c r="N218" s="192">
        <f t="shared" si="21"/>
        <v>0</v>
      </c>
      <c r="O218" s="397" t="str">
        <f>IF($H218="","",VLOOKUP($H218,ForageGrowthCurves!$A$6:$P$29,16))</f>
        <v/>
      </c>
      <c r="P218" s="794"/>
      <c r="CB218" s="4"/>
      <c r="CC218" s="79"/>
    </row>
    <row r="219" spans="5:81" ht="16" hidden="1" customHeight="1">
      <c r="E219" s="798"/>
      <c r="F219" s="800"/>
      <c r="G219" s="396"/>
      <c r="H219" s="193"/>
      <c r="I219" s="194"/>
      <c r="J219" s="195"/>
      <c r="K219" s="195"/>
      <c r="L219" s="192" t="e">
        <f t="shared" si="20"/>
        <v>#DIV/0!</v>
      </c>
      <c r="M219" s="196"/>
      <c r="N219" s="192">
        <f t="shared" si="21"/>
        <v>0</v>
      </c>
      <c r="O219" s="397" t="str">
        <f>IF($H219="","",VLOOKUP($H219,ForageGrowthCurves!$A$6:$P$29,16))</f>
        <v/>
      </c>
      <c r="P219" s="794"/>
      <c r="CB219" s="4"/>
      <c r="CC219" s="79"/>
    </row>
    <row r="220" spans="5:81" ht="16" hidden="1" customHeight="1">
      <c r="E220" s="798"/>
      <c r="F220" s="800"/>
      <c r="G220" s="396"/>
      <c r="H220" s="193"/>
      <c r="I220" s="194"/>
      <c r="J220" s="195"/>
      <c r="K220" s="195"/>
      <c r="L220" s="192" t="e">
        <f t="shared" si="20"/>
        <v>#DIV/0!</v>
      </c>
      <c r="M220" s="196"/>
      <c r="N220" s="192">
        <f t="shared" si="21"/>
        <v>0</v>
      </c>
      <c r="O220" s="397" t="str">
        <f>IF($H220="","",VLOOKUP($H220,ForageGrowthCurves!$A$6:$P$29,16))</f>
        <v/>
      </c>
      <c r="P220" s="794"/>
      <c r="CB220" s="4"/>
      <c r="CC220" s="79"/>
    </row>
    <row r="221" spans="5:81" ht="16" hidden="1" customHeight="1">
      <c r="E221" s="798"/>
      <c r="F221" s="800"/>
      <c r="G221" s="396"/>
      <c r="H221" s="193"/>
      <c r="I221" s="194"/>
      <c r="J221" s="195"/>
      <c r="K221" s="195"/>
      <c r="L221" s="192" t="e">
        <f t="shared" si="20"/>
        <v>#DIV/0!</v>
      </c>
      <c r="M221" s="196"/>
      <c r="N221" s="192">
        <f t="shared" si="21"/>
        <v>0</v>
      </c>
      <c r="O221" s="397" t="str">
        <f>IF($H221="","",VLOOKUP($H221,ForageGrowthCurves!$A$6:$P$29,16))</f>
        <v/>
      </c>
      <c r="P221" s="794"/>
      <c r="R221" s="147"/>
      <c r="CB221" s="4"/>
      <c r="CC221" s="79"/>
    </row>
    <row r="222" spans="5:81" ht="16" hidden="1" customHeight="1">
      <c r="E222" s="798"/>
      <c r="F222" s="800"/>
      <c r="G222" s="396"/>
      <c r="H222" s="193"/>
      <c r="I222" s="194"/>
      <c r="J222" s="195"/>
      <c r="K222" s="195"/>
      <c r="L222" s="192" t="e">
        <f t="shared" si="20"/>
        <v>#DIV/0!</v>
      </c>
      <c r="M222" s="196"/>
      <c r="N222" s="192">
        <f t="shared" si="21"/>
        <v>0</v>
      </c>
      <c r="O222" s="397" t="str">
        <f>IF($H222="","",VLOOKUP($H222,ForageGrowthCurves!$A$6:$P$29,16))</f>
        <v/>
      </c>
      <c r="P222" s="794"/>
      <c r="CB222" s="4"/>
      <c r="CC222" s="79"/>
    </row>
    <row r="223" spans="5:81" ht="10.5" hidden="1" customHeight="1">
      <c r="E223" s="798"/>
      <c r="F223" s="800"/>
      <c r="G223" s="804"/>
      <c r="H223" s="805"/>
      <c r="I223" s="806"/>
      <c r="J223" s="807"/>
      <c r="K223" s="807"/>
      <c r="L223" s="808"/>
      <c r="M223" s="809"/>
      <c r="N223" s="810"/>
      <c r="O223" s="811"/>
      <c r="P223" s="794"/>
      <c r="Q223" s="147"/>
      <c r="CB223" s="4"/>
      <c r="CC223" s="79"/>
    </row>
    <row r="224" spans="5:81" ht="14.25" hidden="1" customHeight="1">
      <c r="E224" s="798"/>
      <c r="F224" s="800"/>
      <c r="G224" s="1891" t="s">
        <v>285</v>
      </c>
      <c r="H224" s="1892"/>
      <c r="I224" s="398">
        <f>SUBTOTAL(109,I213:I222)</f>
        <v>0</v>
      </c>
      <c r="J224" s="399"/>
      <c r="K224" s="399"/>
      <c r="L224" s="400">
        <f>SUBTOTAL(109,L213:L222)</f>
        <v>0</v>
      </c>
      <c r="M224" s="401"/>
      <c r="N224" s="400">
        <f>SUBTOTAL(109,N213:N222)</f>
        <v>0</v>
      </c>
      <c r="O224" s="402"/>
      <c r="P224" s="794"/>
      <c r="CB224" s="4"/>
      <c r="CC224" s="79"/>
    </row>
    <row r="225" spans="5:87" ht="18" hidden="1" thickBot="1">
      <c r="E225" s="1904"/>
      <c r="F225" s="1905"/>
      <c r="G225" s="1905"/>
      <c r="H225" s="1905"/>
      <c r="I225" s="801"/>
      <c r="J225" s="802"/>
      <c r="K225" s="802"/>
      <c r="L225" s="802"/>
      <c r="M225" s="803"/>
      <c r="N225" s="802"/>
      <c r="O225" s="802"/>
      <c r="P225" s="796"/>
      <c r="CB225" s="4"/>
      <c r="CC225" s="79"/>
    </row>
    <row r="226" spans="5:87" ht="20.25" hidden="1" customHeight="1" thickBot="1">
      <c r="G226" s="147"/>
      <c r="Z226" s="18"/>
    </row>
    <row r="227" spans="5:87" ht="36" customHeight="1">
      <c r="E227" s="124"/>
      <c r="F227" s="125"/>
      <c r="G227" s="1908" t="s">
        <v>280</v>
      </c>
      <c r="H227" s="1908"/>
      <c r="I227" s="1908"/>
      <c r="J227" s="1908"/>
      <c r="K227" s="1908"/>
      <c r="L227" s="1908"/>
      <c r="M227" s="1908"/>
      <c r="N227" s="1908"/>
      <c r="O227" s="1908"/>
      <c r="P227" s="1908"/>
      <c r="Q227" s="1908"/>
      <c r="R227" s="1908"/>
      <c r="S227" s="1908"/>
      <c r="T227" s="1908"/>
      <c r="U227" s="1908"/>
      <c r="V227" s="1908"/>
      <c r="W227" s="1908"/>
      <c r="X227" s="1908"/>
      <c r="Y227" s="1908"/>
      <c r="Z227" s="126"/>
      <c r="AZ227" s="19" t="s">
        <v>3160</v>
      </c>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680"/>
      <c r="CE227" s="19"/>
      <c r="CF227" s="19"/>
      <c r="CG227" s="19"/>
      <c r="CH227" s="19"/>
      <c r="CI227" s="19"/>
    </row>
    <row r="228" spans="5:87" ht="24" customHeight="1">
      <c r="E228" s="158"/>
      <c r="F228" s="128"/>
      <c r="G228" s="128"/>
      <c r="H228" s="190"/>
      <c r="I228" s="25"/>
      <c r="J228" s="191" t="s">
        <v>270</v>
      </c>
      <c r="K228" s="191"/>
      <c r="L228" s="191" t="s">
        <v>270</v>
      </c>
      <c r="M228" s="191"/>
      <c r="N228" s="361" t="s">
        <v>276</v>
      </c>
      <c r="O228" s="361" t="s">
        <v>277</v>
      </c>
      <c r="P228" s="361" t="s">
        <v>88</v>
      </c>
      <c r="Q228" s="361" t="s">
        <v>89</v>
      </c>
      <c r="R228" s="361" t="s">
        <v>39</v>
      </c>
      <c r="S228" s="361" t="s">
        <v>90</v>
      </c>
      <c r="T228" s="361" t="s">
        <v>91</v>
      </c>
      <c r="U228" s="361" t="s">
        <v>92</v>
      </c>
      <c r="V228" s="361" t="s">
        <v>93</v>
      </c>
      <c r="W228" s="361" t="s">
        <v>94</v>
      </c>
      <c r="X228" s="361" t="s">
        <v>95</v>
      </c>
      <c r="Y228" s="361" t="s">
        <v>96</v>
      </c>
      <c r="Z228" s="131"/>
      <c r="AZ228" s="1681" t="s">
        <v>276</v>
      </c>
      <c r="BA228" s="1681" t="s">
        <v>277</v>
      </c>
      <c r="BB228" s="1681" t="s">
        <v>88</v>
      </c>
      <c r="BC228" s="1681" t="s">
        <v>89</v>
      </c>
      <c r="BD228" s="1681" t="s">
        <v>39</v>
      </c>
      <c r="BE228" s="1681" t="s">
        <v>90</v>
      </c>
      <c r="BF228" s="1681" t="s">
        <v>91</v>
      </c>
      <c r="BG228" s="1681" t="s">
        <v>92</v>
      </c>
      <c r="BH228" s="1681" t="s">
        <v>93</v>
      </c>
      <c r="BI228" s="1681" t="s">
        <v>94</v>
      </c>
      <c r="BJ228" s="1681" t="s">
        <v>95</v>
      </c>
      <c r="BK228" s="1681" t="s">
        <v>96</v>
      </c>
      <c r="BL228" s="1681" t="s">
        <v>276</v>
      </c>
      <c r="BM228" s="1681" t="s">
        <v>277</v>
      </c>
      <c r="BN228" s="1681" t="s">
        <v>88</v>
      </c>
      <c r="BO228" s="1681" t="s">
        <v>89</v>
      </c>
      <c r="BP228" s="1681" t="s">
        <v>39</v>
      </c>
      <c r="BQ228" s="1681" t="s">
        <v>90</v>
      </c>
      <c r="BR228" s="1681" t="s">
        <v>91</v>
      </c>
      <c r="BS228" s="1681" t="s">
        <v>92</v>
      </c>
      <c r="BT228" s="1681" t="s">
        <v>93</v>
      </c>
      <c r="BU228" s="1681" t="s">
        <v>94</v>
      </c>
      <c r="BV228" s="1681" t="s">
        <v>95</v>
      </c>
      <c r="BW228" s="1681" t="s">
        <v>96</v>
      </c>
      <c r="BX228" s="1681" t="s">
        <v>276</v>
      </c>
      <c r="BY228" s="1681" t="s">
        <v>277</v>
      </c>
      <c r="BZ228" s="1681" t="s">
        <v>88</v>
      </c>
      <c r="CA228" s="1681" t="s">
        <v>89</v>
      </c>
      <c r="CB228" s="1681" t="s">
        <v>39</v>
      </c>
      <c r="CC228" s="1681" t="s">
        <v>90</v>
      </c>
      <c r="CD228" s="1681" t="s">
        <v>91</v>
      </c>
      <c r="CE228" s="1681" t="s">
        <v>92</v>
      </c>
      <c r="CF228" s="1681" t="s">
        <v>93</v>
      </c>
      <c r="CG228" s="1681" t="s">
        <v>94</v>
      </c>
      <c r="CH228" s="1681" t="s">
        <v>95</v>
      </c>
      <c r="CI228" s="1681" t="s">
        <v>96</v>
      </c>
    </row>
    <row r="229" spans="5:87" ht="16">
      <c r="E229" s="127"/>
      <c r="F229" s="128"/>
      <c r="G229" s="128"/>
      <c r="H229" s="1872" t="s">
        <v>293</v>
      </c>
      <c r="I229" s="1873"/>
      <c r="J229" s="1873"/>
      <c r="K229" s="1873"/>
      <c r="L229" s="1874"/>
      <c r="M229" s="153">
        <f>SUM(N229:Y229)</f>
        <v>0</v>
      </c>
      <c r="N229" s="13">
        <f t="shared" ref="N229:Y229" si="22">SUBTOTAL(109,N103:N149)</f>
        <v>0</v>
      </c>
      <c r="O229" s="13">
        <f t="shared" si="22"/>
        <v>0</v>
      </c>
      <c r="P229" s="13">
        <f t="shared" si="22"/>
        <v>0</v>
      </c>
      <c r="Q229" s="13">
        <f t="shared" si="22"/>
        <v>0</v>
      </c>
      <c r="R229" s="13">
        <f t="shared" si="22"/>
        <v>0</v>
      </c>
      <c r="S229" s="13">
        <f t="shared" si="22"/>
        <v>0</v>
      </c>
      <c r="T229" s="13">
        <f t="shared" si="22"/>
        <v>0</v>
      </c>
      <c r="U229" s="13">
        <f t="shared" si="22"/>
        <v>0</v>
      </c>
      <c r="V229" s="13">
        <f t="shared" si="22"/>
        <v>0</v>
      </c>
      <c r="W229" s="13">
        <f t="shared" si="22"/>
        <v>0</v>
      </c>
      <c r="X229" s="13">
        <f t="shared" si="22"/>
        <v>0</v>
      </c>
      <c r="Y229" s="13">
        <f t="shared" si="22"/>
        <v>0</v>
      </c>
      <c r="Z229" s="131"/>
      <c r="AZ229" s="1682">
        <f t="shared" ref="AZ229:BK230" si="23">N229</f>
        <v>0</v>
      </c>
      <c r="BA229" s="1682">
        <f t="shared" si="23"/>
        <v>0</v>
      </c>
      <c r="BB229" s="1682">
        <f t="shared" si="23"/>
        <v>0</v>
      </c>
      <c r="BC229" s="1682">
        <f t="shared" si="23"/>
        <v>0</v>
      </c>
      <c r="BD229" s="1682">
        <f t="shared" si="23"/>
        <v>0</v>
      </c>
      <c r="BE229" s="1682">
        <f t="shared" si="23"/>
        <v>0</v>
      </c>
      <c r="BF229" s="1682">
        <f t="shared" si="23"/>
        <v>0</v>
      </c>
      <c r="BG229" s="1682">
        <f t="shared" si="23"/>
        <v>0</v>
      </c>
      <c r="BH229" s="1682">
        <f t="shared" si="23"/>
        <v>0</v>
      </c>
      <c r="BI229" s="1682">
        <f t="shared" si="23"/>
        <v>0</v>
      </c>
      <c r="BJ229" s="1682">
        <f t="shared" si="23"/>
        <v>0</v>
      </c>
      <c r="BK229" s="1682">
        <f t="shared" si="23"/>
        <v>0</v>
      </c>
      <c r="BL229" s="1682">
        <f t="shared" ref="BL229:BW230" si="24">N229</f>
        <v>0</v>
      </c>
      <c r="BM229" s="1682">
        <f t="shared" si="24"/>
        <v>0</v>
      </c>
      <c r="BN229" s="1682">
        <f t="shared" si="24"/>
        <v>0</v>
      </c>
      <c r="BO229" s="1682">
        <f t="shared" si="24"/>
        <v>0</v>
      </c>
      <c r="BP229" s="1682">
        <f t="shared" si="24"/>
        <v>0</v>
      </c>
      <c r="BQ229" s="1682">
        <f t="shared" si="24"/>
        <v>0</v>
      </c>
      <c r="BR229" s="1682">
        <f t="shared" si="24"/>
        <v>0</v>
      </c>
      <c r="BS229" s="1682">
        <f t="shared" si="24"/>
        <v>0</v>
      </c>
      <c r="BT229" s="1682">
        <f t="shared" si="24"/>
        <v>0</v>
      </c>
      <c r="BU229" s="1682">
        <f t="shared" si="24"/>
        <v>0</v>
      </c>
      <c r="BV229" s="1682">
        <f t="shared" si="24"/>
        <v>0</v>
      </c>
      <c r="BW229" s="1682">
        <f t="shared" si="24"/>
        <v>0</v>
      </c>
      <c r="BX229" s="1682">
        <f t="shared" ref="BX229:CI230" si="25">N229</f>
        <v>0</v>
      </c>
      <c r="BY229" s="1682">
        <f t="shared" si="25"/>
        <v>0</v>
      </c>
      <c r="BZ229" s="1682">
        <f t="shared" si="25"/>
        <v>0</v>
      </c>
      <c r="CA229" s="1682">
        <f t="shared" si="25"/>
        <v>0</v>
      </c>
      <c r="CB229" s="1682">
        <f t="shared" si="25"/>
        <v>0</v>
      </c>
      <c r="CC229" s="1682">
        <f t="shared" si="25"/>
        <v>0</v>
      </c>
      <c r="CD229" s="1682">
        <f t="shared" si="25"/>
        <v>0</v>
      </c>
      <c r="CE229" s="1682">
        <f t="shared" si="25"/>
        <v>0</v>
      </c>
      <c r="CF229" s="1682">
        <f t="shared" si="25"/>
        <v>0</v>
      </c>
      <c r="CG229" s="1682">
        <f t="shared" si="25"/>
        <v>0</v>
      </c>
      <c r="CH229" s="1682">
        <f t="shared" si="25"/>
        <v>0</v>
      </c>
      <c r="CI229" s="1682">
        <f t="shared" si="25"/>
        <v>0</v>
      </c>
    </row>
    <row r="230" spans="5:87" ht="16">
      <c r="E230" s="127"/>
      <c r="F230" s="128"/>
      <c r="G230" s="128"/>
      <c r="H230" s="1872" t="s">
        <v>294</v>
      </c>
      <c r="I230" s="1873"/>
      <c r="J230" s="1873"/>
      <c r="K230" s="1873"/>
      <c r="L230" s="1873"/>
      <c r="M230" s="153">
        <f>SUM(N230:Y230)</f>
        <v>0</v>
      </c>
      <c r="N230" s="13">
        <f t="shared" ref="N230:Y230" si="26">N91</f>
        <v>0</v>
      </c>
      <c r="O230" s="13">
        <f t="shared" si="26"/>
        <v>0</v>
      </c>
      <c r="P230" s="13">
        <f t="shared" si="26"/>
        <v>0</v>
      </c>
      <c r="Q230" s="13">
        <f t="shared" si="26"/>
        <v>0</v>
      </c>
      <c r="R230" s="13">
        <f t="shared" si="26"/>
        <v>0</v>
      </c>
      <c r="S230" s="13">
        <f t="shared" si="26"/>
        <v>0</v>
      </c>
      <c r="T230" s="13">
        <f t="shared" si="26"/>
        <v>0</v>
      </c>
      <c r="U230" s="13">
        <f t="shared" si="26"/>
        <v>0</v>
      </c>
      <c r="V230" s="13">
        <f t="shared" si="26"/>
        <v>0</v>
      </c>
      <c r="W230" s="13">
        <f t="shared" si="26"/>
        <v>0</v>
      </c>
      <c r="X230" s="13">
        <f t="shared" si="26"/>
        <v>0</v>
      </c>
      <c r="Y230" s="13">
        <f t="shared" si="26"/>
        <v>0</v>
      </c>
      <c r="Z230" s="131"/>
      <c r="AZ230" s="1682">
        <f t="shared" si="23"/>
        <v>0</v>
      </c>
      <c r="BA230" s="1682">
        <f t="shared" si="23"/>
        <v>0</v>
      </c>
      <c r="BB230" s="1682">
        <f t="shared" si="23"/>
        <v>0</v>
      </c>
      <c r="BC230" s="1682">
        <f t="shared" si="23"/>
        <v>0</v>
      </c>
      <c r="BD230" s="1682">
        <f t="shared" si="23"/>
        <v>0</v>
      </c>
      <c r="BE230" s="1682">
        <f t="shared" si="23"/>
        <v>0</v>
      </c>
      <c r="BF230" s="1682">
        <f t="shared" si="23"/>
        <v>0</v>
      </c>
      <c r="BG230" s="1682">
        <f t="shared" si="23"/>
        <v>0</v>
      </c>
      <c r="BH230" s="1682">
        <f t="shared" si="23"/>
        <v>0</v>
      </c>
      <c r="BI230" s="1682">
        <f t="shared" si="23"/>
        <v>0</v>
      </c>
      <c r="BJ230" s="1682">
        <f t="shared" si="23"/>
        <v>0</v>
      </c>
      <c r="BK230" s="1682">
        <f t="shared" si="23"/>
        <v>0</v>
      </c>
      <c r="BL230" s="1682">
        <f t="shared" si="24"/>
        <v>0</v>
      </c>
      <c r="BM230" s="1682">
        <f t="shared" si="24"/>
        <v>0</v>
      </c>
      <c r="BN230" s="1682">
        <f t="shared" si="24"/>
        <v>0</v>
      </c>
      <c r="BO230" s="1682">
        <f t="shared" si="24"/>
        <v>0</v>
      </c>
      <c r="BP230" s="1682">
        <f t="shared" si="24"/>
        <v>0</v>
      </c>
      <c r="BQ230" s="1682">
        <f t="shared" si="24"/>
        <v>0</v>
      </c>
      <c r="BR230" s="1682">
        <f t="shared" si="24"/>
        <v>0</v>
      </c>
      <c r="BS230" s="1682">
        <f t="shared" si="24"/>
        <v>0</v>
      </c>
      <c r="BT230" s="1682">
        <f t="shared" si="24"/>
        <v>0</v>
      </c>
      <c r="BU230" s="1682">
        <f t="shared" si="24"/>
        <v>0</v>
      </c>
      <c r="BV230" s="1682">
        <f t="shared" si="24"/>
        <v>0</v>
      </c>
      <c r="BW230" s="1682">
        <f t="shared" si="24"/>
        <v>0</v>
      </c>
      <c r="BX230" s="1682">
        <f t="shared" si="25"/>
        <v>0</v>
      </c>
      <c r="BY230" s="1682">
        <f t="shared" si="25"/>
        <v>0</v>
      </c>
      <c r="BZ230" s="1682">
        <f t="shared" si="25"/>
        <v>0</v>
      </c>
      <c r="CA230" s="1682">
        <f t="shared" si="25"/>
        <v>0</v>
      </c>
      <c r="CB230" s="1682">
        <f t="shared" si="25"/>
        <v>0</v>
      </c>
      <c r="CC230" s="1682">
        <f t="shared" si="25"/>
        <v>0</v>
      </c>
      <c r="CD230" s="1682">
        <f t="shared" si="25"/>
        <v>0</v>
      </c>
      <c r="CE230" s="1682">
        <f t="shared" si="25"/>
        <v>0</v>
      </c>
      <c r="CF230" s="1682">
        <f t="shared" si="25"/>
        <v>0</v>
      </c>
      <c r="CG230" s="1682">
        <f t="shared" si="25"/>
        <v>0</v>
      </c>
      <c r="CH230" s="1682">
        <f t="shared" si="25"/>
        <v>0</v>
      </c>
      <c r="CI230" s="1682">
        <f t="shared" si="25"/>
        <v>0</v>
      </c>
    </row>
    <row r="231" spans="5:87" ht="16">
      <c r="E231" s="127"/>
      <c r="F231" s="128"/>
      <c r="G231" s="128"/>
      <c r="H231" s="358"/>
      <c r="I231" s="1873" t="s">
        <v>281</v>
      </c>
      <c r="J231" s="1873"/>
      <c r="K231" s="1873"/>
      <c r="L231" s="1874"/>
      <c r="M231" s="153">
        <f>M229-M230</f>
        <v>0</v>
      </c>
      <c r="N231" s="13">
        <f>N229-N230</f>
        <v>0</v>
      </c>
      <c r="O231" s="13">
        <f t="shared" ref="O231:Y231" si="27">O229-O230</f>
        <v>0</v>
      </c>
      <c r="P231" s="13">
        <f t="shared" si="27"/>
        <v>0</v>
      </c>
      <c r="Q231" s="13">
        <f t="shared" si="27"/>
        <v>0</v>
      </c>
      <c r="R231" s="13">
        <f t="shared" si="27"/>
        <v>0</v>
      </c>
      <c r="S231" s="13">
        <f t="shared" si="27"/>
        <v>0</v>
      </c>
      <c r="T231" s="13">
        <f t="shared" si="27"/>
        <v>0</v>
      </c>
      <c r="U231" s="13">
        <f t="shared" si="27"/>
        <v>0</v>
      </c>
      <c r="V231" s="13">
        <f t="shared" si="27"/>
        <v>0</v>
      </c>
      <c r="W231" s="13">
        <f t="shared" si="27"/>
        <v>0</v>
      </c>
      <c r="X231" s="13">
        <f t="shared" si="27"/>
        <v>0</v>
      </c>
      <c r="Y231" s="13">
        <f t="shared" si="27"/>
        <v>0</v>
      </c>
      <c r="Z231" s="131"/>
      <c r="AZ231" s="1682">
        <f>AZ229-AZ230</f>
        <v>0</v>
      </c>
      <c r="BA231" s="1682">
        <f t="shared" ref="BA231:BK231" si="28">BA229-BA230</f>
        <v>0</v>
      </c>
      <c r="BB231" s="1682">
        <f t="shared" si="28"/>
        <v>0</v>
      </c>
      <c r="BC231" s="1682">
        <f t="shared" si="28"/>
        <v>0</v>
      </c>
      <c r="BD231" s="1682">
        <f t="shared" si="28"/>
        <v>0</v>
      </c>
      <c r="BE231" s="1682">
        <f t="shared" si="28"/>
        <v>0</v>
      </c>
      <c r="BF231" s="1682">
        <f t="shared" si="28"/>
        <v>0</v>
      </c>
      <c r="BG231" s="1682">
        <f t="shared" si="28"/>
        <v>0</v>
      </c>
      <c r="BH231" s="1682">
        <f t="shared" si="28"/>
        <v>0</v>
      </c>
      <c r="BI231" s="1682">
        <f t="shared" si="28"/>
        <v>0</v>
      </c>
      <c r="BJ231" s="1682">
        <f t="shared" si="28"/>
        <v>0</v>
      </c>
      <c r="BK231" s="1682">
        <f t="shared" si="28"/>
        <v>0</v>
      </c>
      <c r="BL231" s="1682">
        <f>BL229-BL230</f>
        <v>0</v>
      </c>
      <c r="BM231" s="1682">
        <f t="shared" ref="BM231:BW231" si="29">BM229-BM230</f>
        <v>0</v>
      </c>
      <c r="BN231" s="1682">
        <f t="shared" si="29"/>
        <v>0</v>
      </c>
      <c r="BO231" s="1682">
        <f t="shared" si="29"/>
        <v>0</v>
      </c>
      <c r="BP231" s="1682">
        <f t="shared" si="29"/>
        <v>0</v>
      </c>
      <c r="BQ231" s="1682">
        <f t="shared" si="29"/>
        <v>0</v>
      </c>
      <c r="BR231" s="1682">
        <f t="shared" si="29"/>
        <v>0</v>
      </c>
      <c r="BS231" s="1682">
        <f t="shared" si="29"/>
        <v>0</v>
      </c>
      <c r="BT231" s="1682">
        <f t="shared" si="29"/>
        <v>0</v>
      </c>
      <c r="BU231" s="1682">
        <f t="shared" si="29"/>
        <v>0</v>
      </c>
      <c r="BV231" s="1682">
        <f t="shared" si="29"/>
        <v>0</v>
      </c>
      <c r="BW231" s="1682">
        <f t="shared" si="29"/>
        <v>0</v>
      </c>
      <c r="BX231" s="1682">
        <f>BX229-BX230</f>
        <v>0</v>
      </c>
      <c r="BY231" s="1682">
        <f t="shared" ref="BY231:CI231" si="30">BY229-BY230</f>
        <v>0</v>
      </c>
      <c r="BZ231" s="1682">
        <f t="shared" si="30"/>
        <v>0</v>
      </c>
      <c r="CA231" s="1682">
        <f t="shared" si="30"/>
        <v>0</v>
      </c>
      <c r="CB231" s="1682">
        <f t="shared" si="30"/>
        <v>0</v>
      </c>
      <c r="CC231" s="1682">
        <f t="shared" si="30"/>
        <v>0</v>
      </c>
      <c r="CD231" s="1682">
        <f t="shared" si="30"/>
        <v>0</v>
      </c>
      <c r="CE231" s="1682">
        <f t="shared" si="30"/>
        <v>0</v>
      </c>
      <c r="CF231" s="1682">
        <f t="shared" si="30"/>
        <v>0</v>
      </c>
      <c r="CG231" s="1682">
        <f t="shared" si="30"/>
        <v>0</v>
      </c>
      <c r="CH231" s="1682">
        <f t="shared" si="30"/>
        <v>0</v>
      </c>
      <c r="CI231" s="1682">
        <f t="shared" si="30"/>
        <v>0</v>
      </c>
    </row>
    <row r="232" spans="5:87" ht="16">
      <c r="E232" s="127"/>
      <c r="F232" s="128"/>
      <c r="G232" s="128"/>
      <c r="H232" s="1942" t="s">
        <v>3161</v>
      </c>
      <c r="I232" s="1943"/>
      <c r="J232" s="1943"/>
      <c r="K232" s="1943"/>
      <c r="L232" s="1943"/>
      <c r="M232" s="1951"/>
      <c r="N232" s="159">
        <f t="shared" ref="N232:Y232" si="31">BX232</f>
        <v>0</v>
      </c>
      <c r="O232" s="159">
        <f t="shared" si="31"/>
        <v>0</v>
      </c>
      <c r="P232" s="159">
        <f t="shared" si="31"/>
        <v>0</v>
      </c>
      <c r="Q232" s="159">
        <f t="shared" si="31"/>
        <v>0</v>
      </c>
      <c r="R232" s="159">
        <f t="shared" si="31"/>
        <v>0</v>
      </c>
      <c r="S232" s="159">
        <f t="shared" si="31"/>
        <v>0</v>
      </c>
      <c r="T232" s="159">
        <f t="shared" si="31"/>
        <v>0</v>
      </c>
      <c r="U232" s="159">
        <f t="shared" si="31"/>
        <v>0</v>
      </c>
      <c r="V232" s="159">
        <f t="shared" si="31"/>
        <v>0</v>
      </c>
      <c r="W232" s="159">
        <f t="shared" si="31"/>
        <v>0</v>
      </c>
      <c r="X232" s="159">
        <f t="shared" si="31"/>
        <v>0</v>
      </c>
      <c r="Y232" s="159">
        <f t="shared" si="31"/>
        <v>0</v>
      </c>
      <c r="Z232" s="131"/>
      <c r="AZ232" s="1683">
        <f>IF(BK231&gt;0,AZ231+BK231,AZ231)</f>
        <v>0</v>
      </c>
      <c r="BA232" s="1683">
        <f>AZ232+BA231</f>
        <v>0</v>
      </c>
      <c r="BB232" s="1683">
        <f>BA232+BB231</f>
        <v>0</v>
      </c>
      <c r="BC232" s="1683">
        <f t="shared" ref="BC232:CI232" si="32">BB232+BC231</f>
        <v>0</v>
      </c>
      <c r="BD232" s="1683">
        <f t="shared" si="32"/>
        <v>0</v>
      </c>
      <c r="BE232" s="1683">
        <f t="shared" si="32"/>
        <v>0</v>
      </c>
      <c r="BF232" s="1683">
        <f t="shared" si="32"/>
        <v>0</v>
      </c>
      <c r="BG232" s="1683">
        <f t="shared" si="32"/>
        <v>0</v>
      </c>
      <c r="BH232" s="1683">
        <f>BG232+BH231</f>
        <v>0</v>
      </c>
      <c r="BI232" s="1683">
        <f>BH232+BI231</f>
        <v>0</v>
      </c>
      <c r="BJ232" s="1683">
        <f>BI232+BJ231</f>
        <v>0</v>
      </c>
      <c r="BK232" s="1683">
        <f t="shared" si="32"/>
        <v>0</v>
      </c>
      <c r="BL232" s="1683">
        <f t="shared" si="32"/>
        <v>0</v>
      </c>
      <c r="BM232" s="1683">
        <f t="shared" si="32"/>
        <v>0</v>
      </c>
      <c r="BN232" s="1683">
        <f t="shared" si="32"/>
        <v>0</v>
      </c>
      <c r="BO232" s="1683">
        <f t="shared" si="32"/>
        <v>0</v>
      </c>
      <c r="BP232" s="1683">
        <f t="shared" si="32"/>
        <v>0</v>
      </c>
      <c r="BQ232" s="1683">
        <f t="shared" si="32"/>
        <v>0</v>
      </c>
      <c r="BR232" s="1683">
        <f t="shared" si="32"/>
        <v>0</v>
      </c>
      <c r="BS232" s="1683">
        <f t="shared" si="32"/>
        <v>0</v>
      </c>
      <c r="BT232" s="1683">
        <f t="shared" si="32"/>
        <v>0</v>
      </c>
      <c r="BU232" s="1683">
        <f t="shared" si="32"/>
        <v>0</v>
      </c>
      <c r="BV232" s="1683">
        <f t="shared" si="32"/>
        <v>0</v>
      </c>
      <c r="BW232" s="1683">
        <f t="shared" si="32"/>
        <v>0</v>
      </c>
      <c r="BX232" s="1683">
        <f t="shared" si="32"/>
        <v>0</v>
      </c>
      <c r="BY232" s="1683">
        <f t="shared" si="32"/>
        <v>0</v>
      </c>
      <c r="BZ232" s="1683">
        <f t="shared" si="32"/>
        <v>0</v>
      </c>
      <c r="CA232" s="1683">
        <f t="shared" si="32"/>
        <v>0</v>
      </c>
      <c r="CB232" s="1683">
        <f t="shared" si="32"/>
        <v>0</v>
      </c>
      <c r="CC232" s="1683">
        <f t="shared" si="32"/>
        <v>0</v>
      </c>
      <c r="CD232" s="1683">
        <f t="shared" si="32"/>
        <v>0</v>
      </c>
      <c r="CE232" s="1683">
        <f t="shared" si="32"/>
        <v>0</v>
      </c>
      <c r="CF232" s="1683">
        <f t="shared" si="32"/>
        <v>0</v>
      </c>
      <c r="CG232" s="1683">
        <f t="shared" si="32"/>
        <v>0</v>
      </c>
      <c r="CH232" s="1683">
        <f t="shared" si="32"/>
        <v>0</v>
      </c>
      <c r="CI232" s="1683">
        <f t="shared" si="32"/>
        <v>0</v>
      </c>
    </row>
    <row r="233" spans="5:87">
      <c r="E233" s="158"/>
      <c r="F233" s="128"/>
      <c r="G233" s="128"/>
      <c r="H233" s="357"/>
      <c r="I233" s="360"/>
      <c r="J233" s="360"/>
      <c r="K233" s="360"/>
      <c r="L233" s="360"/>
      <c r="M233" s="155"/>
      <c r="N233" s="156"/>
      <c r="O233" s="156"/>
      <c r="P233" s="156"/>
      <c r="Q233" s="156"/>
      <c r="R233" s="156"/>
      <c r="S233" s="156"/>
      <c r="T233" s="156"/>
      <c r="U233" s="156"/>
      <c r="V233" s="156"/>
      <c r="W233" s="156"/>
      <c r="X233" s="156"/>
      <c r="Y233" s="154"/>
      <c r="Z233" s="131"/>
    </row>
    <row r="234" spans="5:87">
      <c r="E234" s="158"/>
      <c r="F234" s="128"/>
      <c r="G234" s="128"/>
      <c r="H234" s="1872" t="s">
        <v>296</v>
      </c>
      <c r="I234" s="1873"/>
      <c r="J234" s="1873"/>
      <c r="K234" s="1873"/>
      <c r="L234" s="1874"/>
      <c r="M234" s="153">
        <f>SUM(N234:Y234)</f>
        <v>0</v>
      </c>
      <c r="N234" s="13">
        <f t="shared" ref="N234:Y234" si="33">SUBTOTAL(109,N199:N204)</f>
        <v>0</v>
      </c>
      <c r="O234" s="13">
        <f t="shared" si="33"/>
        <v>0</v>
      </c>
      <c r="P234" s="13">
        <f t="shared" si="33"/>
        <v>0</v>
      </c>
      <c r="Q234" s="13">
        <f t="shared" si="33"/>
        <v>0</v>
      </c>
      <c r="R234" s="13">
        <f t="shared" si="33"/>
        <v>0</v>
      </c>
      <c r="S234" s="13">
        <f t="shared" si="33"/>
        <v>0</v>
      </c>
      <c r="T234" s="13">
        <f t="shared" si="33"/>
        <v>0</v>
      </c>
      <c r="U234" s="13">
        <f t="shared" si="33"/>
        <v>0</v>
      </c>
      <c r="V234" s="13">
        <f t="shared" si="33"/>
        <v>0</v>
      </c>
      <c r="W234" s="13">
        <f t="shared" si="33"/>
        <v>0</v>
      </c>
      <c r="X234" s="13">
        <f t="shared" si="33"/>
        <v>0</v>
      </c>
      <c r="Y234" s="13">
        <f t="shared" si="33"/>
        <v>0</v>
      </c>
      <c r="Z234" s="131"/>
    </row>
    <row r="235" spans="5:87">
      <c r="E235" s="158"/>
      <c r="F235" s="128"/>
      <c r="G235" s="128"/>
      <c r="H235" s="1872" t="s">
        <v>297</v>
      </c>
      <c r="I235" s="1873"/>
      <c r="J235" s="1873"/>
      <c r="K235" s="1873"/>
      <c r="L235" s="1873"/>
      <c r="M235" s="153">
        <f>SUM(N235:Y235)</f>
        <v>0</v>
      </c>
      <c r="N235" s="13">
        <f t="shared" ref="N235:Y235" si="34">N92</f>
        <v>0</v>
      </c>
      <c r="O235" s="13">
        <f t="shared" si="34"/>
        <v>0</v>
      </c>
      <c r="P235" s="13">
        <f t="shared" si="34"/>
        <v>0</v>
      </c>
      <c r="Q235" s="13">
        <f t="shared" si="34"/>
        <v>0</v>
      </c>
      <c r="R235" s="13">
        <f t="shared" si="34"/>
        <v>0</v>
      </c>
      <c r="S235" s="13">
        <f t="shared" si="34"/>
        <v>0</v>
      </c>
      <c r="T235" s="13">
        <f t="shared" si="34"/>
        <v>0</v>
      </c>
      <c r="U235" s="13">
        <f t="shared" si="34"/>
        <v>0</v>
      </c>
      <c r="V235" s="13">
        <f t="shared" si="34"/>
        <v>0</v>
      </c>
      <c r="W235" s="13">
        <f t="shared" si="34"/>
        <v>0</v>
      </c>
      <c r="X235" s="13">
        <f t="shared" si="34"/>
        <v>0</v>
      </c>
      <c r="Y235" s="13">
        <f t="shared" si="34"/>
        <v>0</v>
      </c>
      <c r="Z235" s="131"/>
    </row>
    <row r="236" spans="5:87">
      <c r="E236" s="158"/>
      <c r="F236" s="128"/>
      <c r="G236" s="128"/>
      <c r="H236" s="358"/>
      <c r="I236" s="1873" t="s">
        <v>281</v>
      </c>
      <c r="J236" s="1873"/>
      <c r="K236" s="1873"/>
      <c r="L236" s="1874"/>
      <c r="M236" s="153">
        <f>SUM(N236:Y236)</f>
        <v>0</v>
      </c>
      <c r="N236" s="13">
        <f>N234-N235</f>
        <v>0</v>
      </c>
      <c r="O236" s="13">
        <f t="shared" ref="O236:Y236" si="35">O234-O235</f>
        <v>0</v>
      </c>
      <c r="P236" s="13">
        <f t="shared" si="35"/>
        <v>0</v>
      </c>
      <c r="Q236" s="13">
        <f t="shared" si="35"/>
        <v>0</v>
      </c>
      <c r="R236" s="13">
        <f t="shared" si="35"/>
        <v>0</v>
      </c>
      <c r="S236" s="13">
        <f t="shared" si="35"/>
        <v>0</v>
      </c>
      <c r="T236" s="13">
        <f t="shared" si="35"/>
        <v>0</v>
      </c>
      <c r="U236" s="13">
        <f t="shared" si="35"/>
        <v>0</v>
      </c>
      <c r="V236" s="13">
        <f t="shared" si="35"/>
        <v>0</v>
      </c>
      <c r="W236" s="13">
        <f t="shared" si="35"/>
        <v>0</v>
      </c>
      <c r="X236" s="13">
        <f t="shared" si="35"/>
        <v>0</v>
      </c>
      <c r="Y236" s="13">
        <f t="shared" si="35"/>
        <v>0</v>
      </c>
      <c r="Z236" s="131"/>
    </row>
    <row r="237" spans="5:87">
      <c r="E237" s="158"/>
      <c r="F237" s="128"/>
      <c r="G237" s="128"/>
      <c r="H237" s="162"/>
      <c r="I237" s="359"/>
      <c r="J237" s="1873" t="s">
        <v>282</v>
      </c>
      <c r="K237" s="1873"/>
      <c r="L237" s="1873"/>
      <c r="M237" s="1874"/>
      <c r="N237" s="159">
        <f>IF(Y236&gt;0,N236+Y236,N236)</f>
        <v>0</v>
      </c>
      <c r="O237" s="159">
        <f t="shared" ref="O237:Y237" si="36">N237+O236</f>
        <v>0</v>
      </c>
      <c r="P237" s="159">
        <f t="shared" si="36"/>
        <v>0</v>
      </c>
      <c r="Q237" s="159">
        <f t="shared" si="36"/>
        <v>0</v>
      </c>
      <c r="R237" s="159">
        <f t="shared" si="36"/>
        <v>0</v>
      </c>
      <c r="S237" s="159">
        <f t="shared" si="36"/>
        <v>0</v>
      </c>
      <c r="T237" s="159">
        <f t="shared" si="36"/>
        <v>0</v>
      </c>
      <c r="U237" s="159">
        <f t="shared" si="36"/>
        <v>0</v>
      </c>
      <c r="V237" s="159">
        <f t="shared" si="36"/>
        <v>0</v>
      </c>
      <c r="W237" s="159">
        <f t="shared" si="36"/>
        <v>0</v>
      </c>
      <c r="X237" s="159">
        <f t="shared" si="36"/>
        <v>0</v>
      </c>
      <c r="Y237" s="159">
        <f t="shared" si="36"/>
        <v>0</v>
      </c>
      <c r="Z237" s="131"/>
    </row>
    <row r="238" spans="5:87">
      <c r="E238" s="197"/>
      <c r="F238" s="128"/>
      <c r="G238" s="128"/>
      <c r="H238" s="357"/>
      <c r="I238" s="359"/>
      <c r="J238" s="359"/>
      <c r="K238" s="359"/>
      <c r="L238" s="359"/>
      <c r="M238" s="157"/>
      <c r="N238" s="156"/>
      <c r="O238" s="156"/>
      <c r="P238" s="156"/>
      <c r="Q238" s="156"/>
      <c r="R238" s="156"/>
      <c r="S238" s="156"/>
      <c r="T238" s="156"/>
      <c r="U238" s="156"/>
      <c r="V238" s="156"/>
      <c r="W238" s="156"/>
      <c r="X238" s="156"/>
      <c r="Y238" s="154"/>
      <c r="Z238" s="131"/>
    </row>
    <row r="239" spans="5:87">
      <c r="E239" s="127"/>
      <c r="F239" s="128"/>
      <c r="G239" s="175"/>
      <c r="H239" s="1872" t="s">
        <v>298</v>
      </c>
      <c r="I239" s="1873"/>
      <c r="J239" s="1873"/>
      <c r="K239" s="1873"/>
      <c r="L239" s="1874"/>
      <c r="M239" s="174" t="s">
        <v>300</v>
      </c>
      <c r="N239" s="166" t="s">
        <v>300</v>
      </c>
      <c r="O239" s="166" t="s">
        <v>300</v>
      </c>
      <c r="P239" s="166" t="s">
        <v>300</v>
      </c>
      <c r="Q239" s="166" t="s">
        <v>300</v>
      </c>
      <c r="R239" s="166" t="s">
        <v>300</v>
      </c>
      <c r="S239" s="166" t="s">
        <v>300</v>
      </c>
      <c r="T239" s="166" t="s">
        <v>300</v>
      </c>
      <c r="U239" s="166" t="s">
        <v>300</v>
      </c>
      <c r="V239" s="166" t="s">
        <v>300</v>
      </c>
      <c r="W239" s="166" t="s">
        <v>300</v>
      </c>
      <c r="X239" s="166" t="s">
        <v>300</v>
      </c>
      <c r="Y239" s="166" t="s">
        <v>300</v>
      </c>
      <c r="Z239" s="131"/>
    </row>
    <row r="240" spans="5:87">
      <c r="E240" s="158"/>
      <c r="F240" s="128"/>
      <c r="G240" s="128"/>
      <c r="H240" s="1872" t="s">
        <v>299</v>
      </c>
      <c r="I240" s="1873"/>
      <c r="J240" s="1873"/>
      <c r="K240" s="1873"/>
      <c r="L240" s="1873"/>
      <c r="M240" s="153">
        <f>SUM(N240:Y240)</f>
        <v>0</v>
      </c>
      <c r="N240" s="13">
        <f t="shared" ref="N240:Y240" si="37">N93</f>
        <v>0</v>
      </c>
      <c r="O240" s="13">
        <f t="shared" si="37"/>
        <v>0</v>
      </c>
      <c r="P240" s="13">
        <f t="shared" si="37"/>
        <v>0</v>
      </c>
      <c r="Q240" s="13">
        <f t="shared" si="37"/>
        <v>0</v>
      </c>
      <c r="R240" s="13">
        <f t="shared" si="37"/>
        <v>0</v>
      </c>
      <c r="S240" s="13">
        <f t="shared" si="37"/>
        <v>0</v>
      </c>
      <c r="T240" s="13">
        <f t="shared" si="37"/>
        <v>0</v>
      </c>
      <c r="U240" s="13">
        <f t="shared" si="37"/>
        <v>0</v>
      </c>
      <c r="V240" s="13">
        <f t="shared" si="37"/>
        <v>0</v>
      </c>
      <c r="W240" s="13">
        <f t="shared" si="37"/>
        <v>0</v>
      </c>
      <c r="X240" s="13">
        <f t="shared" si="37"/>
        <v>0</v>
      </c>
      <c r="Y240" s="13">
        <f t="shared" si="37"/>
        <v>0</v>
      </c>
      <c r="Z240" s="131"/>
    </row>
    <row r="241" spans="5:81">
      <c r="E241" s="127"/>
      <c r="F241" s="128"/>
      <c r="G241" s="128"/>
      <c r="H241" s="403"/>
      <c r="I241" s="163"/>
      <c r="J241" s="163"/>
      <c r="K241" s="163"/>
      <c r="L241" s="163"/>
      <c r="M241" s="157"/>
      <c r="N241" s="164"/>
      <c r="O241" s="164"/>
      <c r="P241" s="164"/>
      <c r="Q241" s="164"/>
      <c r="R241" s="164"/>
      <c r="S241" s="164"/>
      <c r="T241" s="164"/>
      <c r="U241" s="164"/>
      <c r="V241" s="164"/>
      <c r="W241" s="164"/>
      <c r="X241" s="164"/>
      <c r="Y241" s="165"/>
      <c r="Z241" s="131"/>
    </row>
    <row r="242" spans="5:81" ht="18" thickBot="1">
      <c r="E242" s="127"/>
      <c r="F242" s="128"/>
      <c r="G242" s="128"/>
      <c r="H242" s="416"/>
      <c r="I242" s="128"/>
      <c r="J242" s="128"/>
      <c r="K242" s="128"/>
      <c r="L242" s="128"/>
      <c r="M242" s="128"/>
      <c r="N242" s="128"/>
      <c r="O242" s="128"/>
      <c r="P242" s="128"/>
      <c r="Q242" s="128"/>
      <c r="R242" s="709"/>
      <c r="S242" s="709"/>
      <c r="T242" s="709"/>
      <c r="U242" s="709"/>
      <c r="V242" s="709"/>
      <c r="W242" s="709"/>
      <c r="X242" s="128"/>
      <c r="Y242" s="128"/>
      <c r="Z242" s="417"/>
    </row>
    <row r="243" spans="5:81" ht="36" customHeight="1">
      <c r="E243" s="422"/>
      <c r="F243" s="423"/>
      <c r="G243" s="423"/>
      <c r="H243" s="1956" t="s">
        <v>384</v>
      </c>
      <c r="I243" s="1957"/>
      <c r="J243" s="1957"/>
      <c r="K243" s="1957"/>
      <c r="L243" s="1957"/>
      <c r="M243" s="1957"/>
      <c r="N243" s="1957"/>
      <c r="O243" s="1958"/>
      <c r="P243" s="706"/>
      <c r="Q243" s="710"/>
      <c r="R243" s="1949" t="s">
        <v>640</v>
      </c>
      <c r="S243" s="1949"/>
      <c r="T243" s="1949"/>
      <c r="U243" s="1949"/>
      <c r="V243" s="1949"/>
      <c r="W243" s="1950"/>
      <c r="X243" s="128"/>
      <c r="Y243" s="128"/>
      <c r="Z243" s="417"/>
    </row>
    <row r="244" spans="5:81" ht="8.25" customHeight="1">
      <c r="E244" s="127"/>
      <c r="F244" s="128"/>
      <c r="G244" s="254"/>
      <c r="H244" s="405"/>
      <c r="I244" s="68"/>
      <c r="J244" s="406"/>
      <c r="K244" s="137"/>
      <c r="L244" s="407"/>
      <c r="M244" s="315"/>
      <c r="N244" s="25"/>
      <c r="O244" s="408"/>
      <c r="P244" s="707"/>
      <c r="Q244" s="710"/>
      <c r="R244" s="128"/>
      <c r="S244" s="128"/>
      <c r="T244" s="128"/>
      <c r="U244" s="128"/>
      <c r="V244" s="128"/>
      <c r="W244" s="712"/>
      <c r="X244" s="128"/>
      <c r="Y244" s="128"/>
      <c r="Z244" s="417"/>
    </row>
    <row r="245" spans="5:81" ht="18" customHeight="1">
      <c r="E245" s="127"/>
      <c r="F245" s="128"/>
      <c r="G245" s="128"/>
      <c r="H245" s="1965" t="s">
        <v>186</v>
      </c>
      <c r="I245" s="1966"/>
      <c r="J245" s="1966"/>
      <c r="K245" s="1966"/>
      <c r="L245" s="1966"/>
      <c r="M245" s="1966"/>
      <c r="N245" s="424">
        <f>M230+M235+M240</f>
        <v>0</v>
      </c>
      <c r="O245" s="413" t="s">
        <v>439</v>
      </c>
      <c r="P245" s="708"/>
      <c r="Q245" s="711"/>
      <c r="R245" s="1947" t="s">
        <v>641</v>
      </c>
      <c r="S245" s="1947"/>
      <c r="T245" s="1947"/>
      <c r="U245" s="1947"/>
      <c r="V245" s="1947"/>
      <c r="W245" s="1948"/>
      <c r="X245" s="128"/>
      <c r="Y245" s="128"/>
      <c r="Z245" s="417"/>
      <c r="CB245" s="4"/>
      <c r="CC245" s="79"/>
    </row>
    <row r="246" spans="5:81" ht="8.25" customHeight="1">
      <c r="E246" s="127"/>
      <c r="F246" s="128"/>
      <c r="G246" s="128"/>
      <c r="H246" s="409"/>
      <c r="I246" s="360"/>
      <c r="J246" s="360"/>
      <c r="K246" s="360"/>
      <c r="L246" s="360"/>
      <c r="M246" s="360"/>
      <c r="N246" s="404"/>
      <c r="O246" s="413"/>
      <c r="P246" s="708"/>
      <c r="Q246" s="710"/>
      <c r="R246" s="1947"/>
      <c r="S246" s="1947"/>
      <c r="T246" s="1947"/>
      <c r="U246" s="1947"/>
      <c r="V246" s="1947"/>
      <c r="W246" s="1948"/>
      <c r="X246" s="128"/>
      <c r="Y246" s="128"/>
      <c r="Z246" s="417"/>
      <c r="CB246" s="4"/>
      <c r="CC246" s="79"/>
    </row>
    <row r="247" spans="5:81" ht="18" customHeight="1">
      <c r="E247" s="127"/>
      <c r="F247" s="128"/>
      <c r="G247" s="128"/>
      <c r="H247" s="1942" t="s">
        <v>460</v>
      </c>
      <c r="I247" s="1943"/>
      <c r="J247" s="1943"/>
      <c r="K247" s="1943"/>
      <c r="L247" s="1943"/>
      <c r="M247" s="1943"/>
      <c r="N247" s="424">
        <f>M229+M234</f>
        <v>0</v>
      </c>
      <c r="O247" s="413" t="s">
        <v>439</v>
      </c>
      <c r="P247" s="708"/>
      <c r="Q247" s="710"/>
      <c r="R247" s="1947"/>
      <c r="S247" s="1947"/>
      <c r="T247" s="1947"/>
      <c r="U247" s="1947"/>
      <c r="V247" s="1947"/>
      <c r="W247" s="1948"/>
      <c r="X247" s="128"/>
      <c r="Y247" s="128"/>
      <c r="Z247" s="417"/>
      <c r="CB247" s="4"/>
      <c r="CC247" s="79"/>
    </row>
    <row r="248" spans="5:81" ht="18" customHeight="1">
      <c r="E248" s="127"/>
      <c r="F248" s="128"/>
      <c r="G248" s="128"/>
      <c r="H248" s="409"/>
      <c r="I248" s="1962" t="s">
        <v>441</v>
      </c>
      <c r="J248" s="1962"/>
      <c r="K248" s="1962"/>
      <c r="L248" s="1962"/>
      <c r="M248" s="1962"/>
      <c r="N248" s="404"/>
      <c r="O248" s="413"/>
      <c r="P248" s="708"/>
      <c r="Q248" s="710"/>
      <c r="R248" s="128"/>
      <c r="S248" s="128"/>
      <c r="T248" s="128"/>
      <c r="U248" s="128"/>
      <c r="V248" s="128"/>
      <c r="W248" s="712"/>
      <c r="X248" s="128"/>
      <c r="Y248" s="128"/>
      <c r="Z248" s="417"/>
      <c r="CB248" s="4"/>
      <c r="CC248" s="79"/>
    </row>
    <row r="249" spans="5:81" ht="18" customHeight="1">
      <c r="E249" s="127"/>
      <c r="F249" s="128"/>
      <c r="G249" s="128"/>
      <c r="H249" s="1942" t="s">
        <v>452</v>
      </c>
      <c r="I249" s="1943"/>
      <c r="J249" s="1943"/>
      <c r="K249" s="1943"/>
      <c r="L249" s="1943"/>
      <c r="M249" s="1943"/>
      <c r="N249" s="424">
        <f>N247-N245</f>
        <v>0</v>
      </c>
      <c r="O249" s="413" t="s">
        <v>439</v>
      </c>
      <c r="P249" s="708"/>
      <c r="Q249" s="710"/>
      <c r="R249" s="128"/>
      <c r="S249" s="128"/>
      <c r="T249" s="128"/>
      <c r="U249" s="128"/>
      <c r="V249" s="128"/>
      <c r="W249" s="712"/>
      <c r="X249" s="128"/>
      <c r="Y249" s="128"/>
      <c r="Z249" s="417"/>
      <c r="CB249" s="4"/>
      <c r="CC249" s="79"/>
    </row>
    <row r="250" spans="5:81" ht="8.25" customHeight="1">
      <c r="E250" s="127"/>
      <c r="F250" s="128"/>
      <c r="G250" s="128"/>
      <c r="H250" s="410"/>
      <c r="I250" s="155"/>
      <c r="J250" s="155"/>
      <c r="K250" s="155"/>
      <c r="L250" s="155"/>
      <c r="M250" s="155"/>
      <c r="N250" s="316"/>
      <c r="O250" s="411"/>
      <c r="P250" s="708"/>
      <c r="Q250" s="710"/>
      <c r="R250" s="128"/>
      <c r="S250" s="128"/>
      <c r="T250" s="128"/>
      <c r="U250" s="128"/>
      <c r="V250" s="128"/>
      <c r="W250" s="712"/>
      <c r="X250" s="128"/>
      <c r="Y250" s="128"/>
      <c r="Z250" s="417"/>
      <c r="CB250" s="4"/>
      <c r="CC250" s="79"/>
    </row>
    <row r="251" spans="5:81" ht="15.75" customHeight="1">
      <c r="E251" s="127"/>
      <c r="F251" s="128"/>
      <c r="G251" s="128"/>
      <c r="H251" s="429"/>
      <c r="I251" s="128"/>
      <c r="J251" s="128"/>
      <c r="K251" s="128"/>
      <c r="L251" s="128"/>
      <c r="M251" s="128"/>
      <c r="N251" s="128"/>
      <c r="O251" s="933"/>
      <c r="P251" s="128"/>
      <c r="Q251" s="710"/>
      <c r="R251" s="128"/>
      <c r="S251" s="128"/>
      <c r="T251" s="128"/>
      <c r="U251" s="128"/>
      <c r="V251" s="128"/>
      <c r="W251" s="712"/>
      <c r="X251" s="128"/>
      <c r="Y251" s="128"/>
      <c r="Z251" s="417"/>
      <c r="CB251" s="4"/>
      <c r="CC251" s="79"/>
    </row>
    <row r="252" spans="5:81" ht="8.25" customHeight="1">
      <c r="E252" s="127"/>
      <c r="F252" s="128"/>
      <c r="G252" s="128"/>
      <c r="H252" s="429"/>
      <c r="I252" s="128"/>
      <c r="J252" s="128"/>
      <c r="K252" s="128"/>
      <c r="L252" s="128"/>
      <c r="M252" s="128"/>
      <c r="N252" s="128"/>
      <c r="O252" s="128"/>
      <c r="P252" s="128"/>
      <c r="Q252" s="710"/>
      <c r="R252" s="128"/>
      <c r="S252" s="128"/>
      <c r="T252" s="128"/>
      <c r="U252" s="128"/>
      <c r="V252" s="128"/>
      <c r="W252" s="712"/>
      <c r="X252" s="128"/>
      <c r="Y252" s="128"/>
      <c r="Z252" s="417"/>
      <c r="CB252" s="4"/>
      <c r="CC252" s="79"/>
    </row>
    <row r="253" spans="5:81" ht="18" customHeight="1">
      <c r="E253" s="127"/>
      <c r="F253" s="128"/>
      <c r="G253" s="128"/>
      <c r="H253" s="429"/>
      <c r="I253" s="128"/>
      <c r="J253" s="128"/>
      <c r="K253" s="128"/>
      <c r="L253" s="128"/>
      <c r="M253" s="128"/>
      <c r="N253" s="128"/>
      <c r="O253" s="128"/>
      <c r="P253" s="416"/>
      <c r="Q253" s="710"/>
      <c r="R253" s="128"/>
      <c r="S253" s="128"/>
      <c r="T253" s="128"/>
      <c r="U253" s="128"/>
      <c r="V253" s="128"/>
      <c r="W253" s="712"/>
      <c r="X253" s="128"/>
      <c r="Y253" s="128"/>
      <c r="Z253" s="417"/>
      <c r="CB253" s="4"/>
      <c r="CC253" s="79"/>
    </row>
    <row r="254" spans="5:81" ht="18" customHeight="1">
      <c r="E254" s="127"/>
      <c r="F254" s="128"/>
      <c r="G254" s="128"/>
      <c r="H254" s="429"/>
      <c r="I254" s="128"/>
      <c r="J254" s="128"/>
      <c r="K254" s="128"/>
      <c r="L254" s="128"/>
      <c r="M254" s="128"/>
      <c r="N254" s="128"/>
      <c r="O254" s="128"/>
      <c r="P254" s="128"/>
      <c r="Q254" s="710"/>
      <c r="R254" s="128"/>
      <c r="S254" s="128"/>
      <c r="T254" s="128"/>
      <c r="U254" s="128"/>
      <c r="V254" s="128"/>
      <c r="W254" s="712"/>
      <c r="X254" s="128"/>
      <c r="Y254" s="128"/>
      <c r="Z254" s="417"/>
      <c r="CB254" s="4"/>
      <c r="CC254" s="79"/>
    </row>
    <row r="255" spans="5:81" ht="18" customHeight="1">
      <c r="E255" s="127"/>
      <c r="F255" s="128"/>
      <c r="G255" s="128"/>
      <c r="H255" s="429"/>
      <c r="I255" s="128"/>
      <c r="J255" s="128"/>
      <c r="K255" s="128"/>
      <c r="L255" s="128"/>
      <c r="M255" s="128"/>
      <c r="N255" s="128"/>
      <c r="O255" s="128"/>
      <c r="P255" s="128"/>
      <c r="Q255" s="710"/>
      <c r="R255" s="128"/>
      <c r="S255" s="128"/>
      <c r="T255" s="128"/>
      <c r="U255" s="128"/>
      <c r="V255" s="128"/>
      <c r="W255" s="712"/>
      <c r="X255" s="128"/>
      <c r="Y255" s="128"/>
      <c r="Z255" s="417"/>
      <c r="CB255" s="4"/>
      <c r="CC255" s="79"/>
    </row>
    <row r="256" spans="5:81" ht="8.25" customHeight="1">
      <c r="E256" s="127"/>
      <c r="F256" s="128"/>
      <c r="G256" s="128"/>
      <c r="H256" s="429"/>
      <c r="I256" s="128"/>
      <c r="J256" s="128"/>
      <c r="K256" s="128"/>
      <c r="L256" s="128"/>
      <c r="M256" s="128"/>
      <c r="N256" s="128"/>
      <c r="O256" s="128"/>
      <c r="P256" s="128"/>
      <c r="Q256" s="710"/>
      <c r="R256" s="128"/>
      <c r="S256" s="128"/>
      <c r="T256" s="128"/>
      <c r="U256" s="128"/>
      <c r="V256" s="128"/>
      <c r="W256" s="712"/>
      <c r="X256" s="128"/>
      <c r="Y256" s="128"/>
      <c r="Z256" s="417"/>
      <c r="CB256" s="4"/>
      <c r="CC256" s="79"/>
    </row>
    <row r="257" spans="5:81" ht="18" customHeight="1">
      <c r="E257" s="127"/>
      <c r="F257" s="128"/>
      <c r="G257" s="128"/>
      <c r="H257" s="429"/>
      <c r="I257" s="128"/>
      <c r="J257" s="128"/>
      <c r="K257" s="128"/>
      <c r="L257" s="128"/>
      <c r="M257" s="128"/>
      <c r="N257" s="128"/>
      <c r="O257" s="128"/>
      <c r="P257" s="128"/>
      <c r="Q257" s="710"/>
      <c r="R257" s="416"/>
      <c r="S257" s="128"/>
      <c r="T257" s="128"/>
      <c r="U257" s="128"/>
      <c r="V257" s="128"/>
      <c r="W257" s="712"/>
      <c r="X257" s="128"/>
      <c r="Y257" s="128"/>
      <c r="Z257" s="417"/>
      <c r="CB257" s="4"/>
      <c r="CC257" s="79"/>
    </row>
    <row r="258" spans="5:81" ht="18" customHeight="1">
      <c r="E258" s="127"/>
      <c r="F258" s="128"/>
      <c r="G258" s="128"/>
      <c r="H258" s="429"/>
      <c r="I258" s="128"/>
      <c r="J258" s="128"/>
      <c r="K258" s="128"/>
      <c r="L258" s="128"/>
      <c r="M258" s="128"/>
      <c r="N258" s="128"/>
      <c r="O258" s="128"/>
      <c r="P258" s="128"/>
      <c r="Q258" s="710"/>
      <c r="R258" s="416"/>
      <c r="S258" s="128"/>
      <c r="T258" s="128"/>
      <c r="U258" s="128"/>
      <c r="V258" s="128"/>
      <c r="W258" s="712"/>
      <c r="X258" s="128"/>
      <c r="Y258" s="128"/>
      <c r="Z258" s="417"/>
      <c r="CB258" s="4"/>
      <c r="CC258" s="79"/>
    </row>
    <row r="259" spans="5:81" ht="18" customHeight="1" thickBot="1">
      <c r="E259" s="127"/>
      <c r="F259" s="128"/>
      <c r="G259" s="128"/>
      <c r="H259" s="429"/>
      <c r="I259" s="128"/>
      <c r="J259" s="128"/>
      <c r="K259" s="128"/>
      <c r="L259" s="128"/>
      <c r="M259" s="128"/>
      <c r="N259" s="128"/>
      <c r="O259" s="128"/>
      <c r="P259" s="128"/>
      <c r="Q259" s="710"/>
      <c r="R259" s="713"/>
      <c r="S259" s="714"/>
      <c r="T259" s="714"/>
      <c r="U259" s="714"/>
      <c r="V259" s="714"/>
      <c r="W259" s="715"/>
      <c r="X259" s="128"/>
      <c r="Y259" s="128"/>
      <c r="Z259" s="417"/>
      <c r="CB259" s="4"/>
      <c r="CC259" s="79"/>
    </row>
    <row r="260" spans="5:81" ht="18" hidden="1" customHeight="1">
      <c r="E260" s="127"/>
      <c r="F260" s="128"/>
      <c r="G260" s="128"/>
      <c r="H260" s="429"/>
      <c r="I260" s="128"/>
      <c r="J260" s="128"/>
      <c r="K260" s="128"/>
      <c r="L260" s="128"/>
      <c r="M260" s="128"/>
      <c r="N260" s="128"/>
      <c r="O260" s="128"/>
      <c r="P260" s="128"/>
      <c r="Q260" s="128"/>
      <c r="R260" s="128"/>
      <c r="S260" s="128"/>
      <c r="T260" s="128"/>
      <c r="U260" s="128"/>
      <c r="V260" s="128"/>
      <c r="W260" s="128"/>
      <c r="X260" s="128"/>
      <c r="Y260" s="128"/>
      <c r="Z260" s="417"/>
      <c r="CB260" s="4"/>
      <c r="CC260" s="79"/>
    </row>
    <row r="261" spans="5:81" hidden="1">
      <c r="E261" s="127"/>
      <c r="F261" s="128"/>
      <c r="G261" s="128"/>
      <c r="H261" s="429"/>
      <c r="I261" s="128"/>
      <c r="J261" s="128"/>
      <c r="K261" s="128"/>
      <c r="L261" s="128"/>
      <c r="M261" s="128"/>
      <c r="N261" s="128"/>
      <c r="O261" s="128"/>
      <c r="P261" s="128"/>
      <c r="Q261" s="128"/>
      <c r="R261" s="128"/>
      <c r="S261" s="128"/>
      <c r="T261" s="128"/>
      <c r="U261" s="128"/>
      <c r="V261" s="128"/>
      <c r="W261" s="128"/>
      <c r="X261" s="128"/>
      <c r="Y261" s="128"/>
      <c r="Z261" s="417"/>
      <c r="CB261" s="4"/>
      <c r="CC261" s="79"/>
    </row>
    <row r="262" spans="5:81" hidden="1">
      <c r="E262" s="127"/>
      <c r="F262" s="128"/>
      <c r="G262" s="128"/>
      <c r="H262" s="1959" t="s">
        <v>453</v>
      </c>
      <c r="I262" s="1960"/>
      <c r="J262" s="1960"/>
      <c r="K262" s="1960"/>
      <c r="L262" s="1960"/>
      <c r="M262" s="1960"/>
      <c r="N262" s="1960"/>
      <c r="O262" s="1961"/>
      <c r="P262" s="128"/>
      <c r="Q262" s="128"/>
      <c r="R262" s="128"/>
      <c r="S262" s="128"/>
      <c r="T262" s="128"/>
      <c r="U262" s="128"/>
      <c r="V262" s="128"/>
      <c r="W262" s="128"/>
      <c r="X262" s="128"/>
      <c r="Y262" s="128"/>
      <c r="Z262" s="417"/>
      <c r="CB262" s="4"/>
      <c r="CC262" s="79"/>
    </row>
    <row r="263" spans="5:81" hidden="1">
      <c r="E263" s="127"/>
      <c r="F263" s="128"/>
      <c r="G263" s="128"/>
      <c r="H263" s="405"/>
      <c r="I263" s="412"/>
      <c r="J263" s="412"/>
      <c r="K263" s="412"/>
      <c r="L263" s="412"/>
      <c r="M263" s="412"/>
      <c r="N263" s="317"/>
      <c r="O263" s="408"/>
      <c r="P263" s="128"/>
      <c r="Q263" s="128"/>
      <c r="R263" s="128"/>
      <c r="S263" s="128"/>
      <c r="T263" s="128"/>
      <c r="U263" s="128"/>
      <c r="V263" s="128"/>
      <c r="W263" s="128"/>
      <c r="X263" s="128"/>
      <c r="Y263" s="128"/>
      <c r="Z263" s="417"/>
      <c r="CB263" s="4"/>
      <c r="CC263" s="79"/>
    </row>
    <row r="264" spans="5:81" hidden="1">
      <c r="E264" s="127"/>
      <c r="F264" s="128"/>
      <c r="G264" s="128"/>
      <c r="H264" s="409"/>
      <c r="I264" s="1967" t="s">
        <v>461</v>
      </c>
      <c r="J264" s="1967"/>
      <c r="K264" s="1967"/>
      <c r="L264" s="1967"/>
      <c r="M264" s="1967"/>
      <c r="N264" s="854">
        <f>N224+M185</f>
        <v>0</v>
      </c>
      <c r="O264" s="413" t="s">
        <v>439</v>
      </c>
      <c r="P264" s="128"/>
      <c r="Q264" s="128"/>
      <c r="R264" s="128"/>
      <c r="S264" s="128"/>
      <c r="T264" s="128"/>
      <c r="U264" s="128"/>
      <c r="V264" s="128"/>
      <c r="W264" s="128"/>
      <c r="X264" s="128"/>
      <c r="Y264" s="128"/>
      <c r="Z264" s="417"/>
      <c r="CB264" s="4"/>
      <c r="CC264" s="79"/>
    </row>
    <row r="265" spans="5:81" ht="19" hidden="1">
      <c r="E265" s="127"/>
      <c r="F265" s="128"/>
      <c r="G265" s="128"/>
      <c r="H265" s="39"/>
      <c r="J265" s="1943" t="s">
        <v>459</v>
      </c>
      <c r="K265" s="1943"/>
      <c r="L265" s="1943"/>
      <c r="M265" s="1951"/>
      <c r="N265" s="425"/>
      <c r="O265" s="413" t="s">
        <v>454</v>
      </c>
      <c r="P265" s="128"/>
      <c r="Q265" s="128"/>
      <c r="R265" s="128"/>
      <c r="S265" s="128"/>
      <c r="T265" s="128"/>
      <c r="U265" s="128"/>
      <c r="V265" s="128"/>
      <c r="W265" s="128"/>
      <c r="X265" s="128"/>
      <c r="Y265" s="128"/>
      <c r="Z265" s="417"/>
      <c r="CB265" s="4"/>
      <c r="CC265" s="79"/>
    </row>
    <row r="266" spans="5:81" hidden="1">
      <c r="E266" s="127"/>
      <c r="F266" s="128"/>
      <c r="G266" s="128"/>
      <c r="H266" s="409"/>
      <c r="I266" s="1943" t="s">
        <v>455</v>
      </c>
      <c r="J266" s="1943"/>
      <c r="K266" s="1943"/>
      <c r="L266" s="1943"/>
      <c r="M266" s="1943"/>
      <c r="N266" s="854">
        <f>((100-N265)/100)*N264</f>
        <v>0</v>
      </c>
      <c r="O266" s="413" t="s">
        <v>439</v>
      </c>
      <c r="P266" s="128"/>
      <c r="Q266" s="128"/>
      <c r="R266" s="128"/>
      <c r="S266" s="128"/>
      <c r="T266" s="128"/>
      <c r="U266" s="128"/>
      <c r="V266" s="128"/>
      <c r="W266" s="128"/>
      <c r="X266" s="128"/>
      <c r="Y266" s="128"/>
      <c r="Z266" s="417"/>
      <c r="CB266" s="4"/>
      <c r="CC266" s="79"/>
    </row>
    <row r="267" spans="5:81" hidden="1">
      <c r="E267" s="127"/>
      <c r="F267" s="128"/>
      <c r="G267" s="128"/>
      <c r="H267" s="409"/>
      <c r="I267" s="360"/>
      <c r="J267" s="360"/>
      <c r="K267" s="360"/>
      <c r="L267" s="360"/>
      <c r="M267" s="360"/>
      <c r="N267" s="854"/>
      <c r="O267" s="413"/>
      <c r="P267" s="128"/>
      <c r="Q267" s="128"/>
      <c r="R267" s="128"/>
      <c r="S267" s="128"/>
      <c r="T267" s="128"/>
      <c r="U267" s="128"/>
      <c r="V267" s="128"/>
      <c r="W267" s="128"/>
      <c r="X267" s="128"/>
      <c r="Y267" s="128"/>
      <c r="Z267" s="417"/>
      <c r="CB267" s="4"/>
      <c r="CC267" s="79"/>
    </row>
    <row r="268" spans="5:81" hidden="1">
      <c r="E268" s="127"/>
      <c r="F268" s="128"/>
      <c r="G268" s="128"/>
      <c r="H268" s="409"/>
      <c r="I268" s="1943" t="s">
        <v>440</v>
      </c>
      <c r="J268" s="1943"/>
      <c r="K268" s="1943"/>
      <c r="L268" s="1943"/>
      <c r="M268" s="1951"/>
      <c r="N268" s="426"/>
      <c r="O268" s="413" t="s">
        <v>439</v>
      </c>
      <c r="P268" s="128"/>
      <c r="Q268" s="128"/>
      <c r="R268" s="128"/>
      <c r="S268" s="128"/>
      <c r="T268" s="128"/>
      <c r="U268" s="128"/>
      <c r="V268" s="128"/>
      <c r="W268" s="128"/>
      <c r="X268" s="128"/>
      <c r="Y268" s="128"/>
      <c r="Z268" s="417"/>
      <c r="CB268" s="4"/>
      <c r="CC268" s="79"/>
    </row>
    <row r="269" spans="5:81" ht="19" hidden="1">
      <c r="E269" s="127"/>
      <c r="F269" s="128"/>
      <c r="G269" s="128"/>
      <c r="H269" s="409"/>
      <c r="I269" s="360"/>
      <c r="J269" s="1943" t="s">
        <v>459</v>
      </c>
      <c r="K269" s="1943"/>
      <c r="L269" s="1943"/>
      <c r="M269" s="1951"/>
      <c r="N269" s="427"/>
      <c r="O269" s="413" t="s">
        <v>454</v>
      </c>
      <c r="P269" s="128"/>
      <c r="Q269" s="128"/>
      <c r="R269" s="128"/>
      <c r="S269" s="128"/>
      <c r="T269" s="128"/>
      <c r="U269" s="128"/>
      <c r="V269" s="128"/>
      <c r="W269" s="128"/>
      <c r="X269" s="128"/>
      <c r="Y269" s="128"/>
      <c r="Z269" s="417"/>
      <c r="CB269" s="4"/>
      <c r="CC269" s="79"/>
    </row>
    <row r="270" spans="5:81" hidden="1">
      <c r="E270" s="127"/>
      <c r="F270" s="128"/>
      <c r="G270" s="128"/>
      <c r="H270" s="39"/>
      <c r="I270" s="15"/>
      <c r="K270" s="1943" t="s">
        <v>456</v>
      </c>
      <c r="L270" s="1943"/>
      <c r="M270" s="1943"/>
      <c r="N270" s="854">
        <f>((100-N269)/100)*N268</f>
        <v>0</v>
      </c>
      <c r="O270" s="413" t="s">
        <v>439</v>
      </c>
      <c r="P270" s="128"/>
      <c r="Q270" s="128"/>
      <c r="R270" s="128"/>
      <c r="S270" s="128"/>
      <c r="T270" s="128"/>
      <c r="U270" s="128"/>
      <c r="V270" s="128"/>
      <c r="W270" s="128"/>
      <c r="X270" s="128"/>
      <c r="Y270" s="128"/>
      <c r="Z270" s="417"/>
      <c r="CB270" s="4"/>
      <c r="CC270" s="79"/>
    </row>
    <row r="271" spans="5:81" ht="19" hidden="1">
      <c r="E271" s="127"/>
      <c r="F271" s="128"/>
      <c r="G271" s="128"/>
      <c r="H271" s="409"/>
      <c r="I271" s="15"/>
      <c r="J271" s="42"/>
      <c r="K271" s="40"/>
      <c r="L271" s="41"/>
      <c r="M271"/>
      <c r="N271" s="854"/>
      <c r="O271" s="413"/>
      <c r="P271" s="128"/>
      <c r="Q271" s="128"/>
      <c r="R271" s="128"/>
      <c r="S271" s="128"/>
      <c r="T271" s="128"/>
      <c r="U271" s="128"/>
      <c r="V271" s="128"/>
      <c r="W271" s="128"/>
      <c r="X271" s="128"/>
      <c r="Y271" s="128"/>
      <c r="Z271" s="417"/>
      <c r="CB271" s="4"/>
      <c r="CC271" s="79"/>
    </row>
    <row r="272" spans="5:81" hidden="1">
      <c r="E272" s="127"/>
      <c r="F272" s="128"/>
      <c r="G272" s="128"/>
      <c r="H272" s="1942" t="s">
        <v>213</v>
      </c>
      <c r="I272" s="1943"/>
      <c r="J272" s="1943"/>
      <c r="K272" s="1943"/>
      <c r="L272" s="1943"/>
      <c r="M272" s="1951"/>
      <c r="N272" s="426"/>
      <c r="O272" s="413" t="s">
        <v>439</v>
      </c>
      <c r="P272" s="128"/>
      <c r="Q272" s="128"/>
      <c r="R272" s="128"/>
      <c r="S272" s="128"/>
      <c r="T272" s="128"/>
      <c r="U272" s="128"/>
      <c r="V272" s="128"/>
      <c r="W272" s="128"/>
      <c r="X272" s="128"/>
      <c r="Y272" s="128"/>
      <c r="Z272" s="417"/>
      <c r="CB272" s="4"/>
      <c r="CC272" s="79"/>
    </row>
    <row r="273" spans="5:81" ht="19" hidden="1">
      <c r="E273" s="127"/>
      <c r="F273" s="128"/>
      <c r="G273" s="128"/>
      <c r="H273" s="853"/>
      <c r="I273" s="360"/>
      <c r="J273" s="1943" t="s">
        <v>459</v>
      </c>
      <c r="K273" s="1943"/>
      <c r="L273" s="1943"/>
      <c r="M273" s="1951"/>
      <c r="N273" s="428"/>
      <c r="O273" s="413" t="s">
        <v>454</v>
      </c>
      <c r="P273" s="128"/>
      <c r="Q273" s="128"/>
      <c r="R273" s="128"/>
      <c r="S273" s="128"/>
      <c r="T273" s="128"/>
      <c r="U273" s="128"/>
      <c r="V273" s="128"/>
      <c r="W273" s="128"/>
      <c r="X273" s="128"/>
      <c r="Y273" s="128"/>
      <c r="Z273" s="417"/>
      <c r="CB273" s="4"/>
      <c r="CC273" s="79"/>
    </row>
    <row r="274" spans="5:81" hidden="1">
      <c r="E274" s="127"/>
      <c r="F274" s="128"/>
      <c r="G274" s="128"/>
      <c r="H274" s="409"/>
      <c r="I274" s="360"/>
      <c r="K274" s="1943" t="s">
        <v>457</v>
      </c>
      <c r="L274" s="1943"/>
      <c r="M274" s="1943"/>
      <c r="N274" s="854">
        <f>((100-N273)/100)*N272</f>
        <v>0</v>
      </c>
      <c r="O274" s="413" t="s">
        <v>439</v>
      </c>
      <c r="P274" s="128"/>
      <c r="Q274" s="128"/>
      <c r="R274" s="128"/>
      <c r="S274" s="128"/>
      <c r="T274" s="128"/>
      <c r="U274" s="128"/>
      <c r="V274" s="128"/>
      <c r="W274" s="128"/>
      <c r="X274" s="128"/>
      <c r="Y274" s="128"/>
      <c r="Z274" s="417"/>
      <c r="CB274" s="4"/>
      <c r="CC274" s="79"/>
    </row>
    <row r="275" spans="5:81" hidden="1">
      <c r="E275" s="127"/>
      <c r="F275" s="128"/>
      <c r="G275" s="128"/>
      <c r="H275" s="414"/>
      <c r="I275" s="155"/>
      <c r="J275" s="415"/>
      <c r="K275" s="1963" t="s">
        <v>667</v>
      </c>
      <c r="L275" s="1963"/>
      <c r="M275" s="1963"/>
      <c r="N275" s="1963"/>
      <c r="O275" s="1964"/>
      <c r="P275" s="128"/>
      <c r="Q275" s="128"/>
      <c r="R275" s="128"/>
      <c r="S275" s="128"/>
      <c r="T275" s="128"/>
      <c r="U275" s="128"/>
      <c r="V275" s="128"/>
      <c r="W275" s="128"/>
      <c r="X275" s="128"/>
      <c r="Y275" s="128"/>
      <c r="Z275" s="417"/>
      <c r="CB275" s="4"/>
      <c r="CC275" s="79"/>
    </row>
    <row r="276" spans="5:81" hidden="1">
      <c r="E276" s="127"/>
      <c r="F276" s="128"/>
      <c r="G276" s="128"/>
      <c r="H276" s="419"/>
      <c r="I276" s="420"/>
      <c r="J276" s="128"/>
      <c r="K276" s="420"/>
      <c r="L276" s="420"/>
      <c r="M276" s="420"/>
      <c r="N276" s="421"/>
      <c r="O276" s="175"/>
      <c r="P276" s="128"/>
      <c r="Q276" s="128"/>
      <c r="R276" s="128"/>
      <c r="S276" s="128"/>
      <c r="T276" s="128"/>
      <c r="U276" s="128"/>
      <c r="V276" s="128"/>
      <c r="W276" s="128"/>
      <c r="X276" s="128"/>
      <c r="Y276" s="128"/>
      <c r="Z276" s="417"/>
      <c r="CB276" s="4"/>
      <c r="CC276" s="79"/>
    </row>
    <row r="277" spans="5:81" ht="18" hidden="1">
      <c r="E277" s="127"/>
      <c r="F277" s="128"/>
      <c r="G277" s="128"/>
      <c r="H277" s="1954" t="s">
        <v>458</v>
      </c>
      <c r="I277" s="1955"/>
      <c r="J277" s="1955"/>
      <c r="K277" s="1955"/>
      <c r="L277" s="1955"/>
      <c r="M277" s="1955"/>
      <c r="N277" s="899">
        <f>(N247+N266+N270+N274)-N245</f>
        <v>0</v>
      </c>
      <c r="O277" s="900" t="s">
        <v>439</v>
      </c>
      <c r="P277" s="128"/>
      <c r="Q277" s="128"/>
      <c r="R277" s="128"/>
      <c r="S277" s="128"/>
      <c r="T277" s="128"/>
      <c r="U277" s="128"/>
      <c r="V277" s="128"/>
      <c r="W277" s="128"/>
      <c r="X277" s="128"/>
      <c r="Y277" s="128"/>
      <c r="Z277" s="417"/>
      <c r="CB277" s="4"/>
      <c r="CC277" s="79"/>
    </row>
    <row r="278" spans="5:81">
      <c r="E278" s="127"/>
      <c r="F278" s="128"/>
      <c r="G278" s="128"/>
      <c r="H278" s="429"/>
      <c r="I278" s="128"/>
      <c r="J278" s="128"/>
      <c r="K278" s="128"/>
      <c r="L278" s="128"/>
      <c r="M278" s="128"/>
      <c r="N278" s="128"/>
      <c r="O278" s="128"/>
      <c r="P278" s="128"/>
      <c r="Q278" s="128"/>
      <c r="R278" s="128"/>
      <c r="S278" s="128"/>
      <c r="T278" s="128"/>
      <c r="U278" s="128"/>
      <c r="V278" s="128"/>
      <c r="W278" s="128"/>
      <c r="X278" s="128"/>
      <c r="Y278" s="128"/>
      <c r="Z278" s="417"/>
      <c r="CB278" s="4"/>
      <c r="CC278" s="79"/>
    </row>
    <row r="279" spans="5:81">
      <c r="E279" s="127"/>
      <c r="F279" s="128"/>
      <c r="G279" s="128"/>
      <c r="H279" s="429"/>
      <c r="I279" s="128"/>
      <c r="J279" s="128"/>
      <c r="K279" s="128"/>
      <c r="L279" s="128"/>
      <c r="M279" s="128"/>
      <c r="N279" s="128"/>
      <c r="O279" s="128"/>
      <c r="P279" s="128"/>
      <c r="Q279" s="128"/>
      <c r="R279" s="128"/>
      <c r="S279" s="128"/>
      <c r="T279" s="128"/>
      <c r="U279" s="128"/>
      <c r="V279" s="128"/>
      <c r="W279" s="128"/>
      <c r="X279" s="128"/>
      <c r="Y279" s="128"/>
      <c r="Z279" s="417"/>
      <c r="CB279" s="4"/>
      <c r="CC279" s="79"/>
    </row>
    <row r="280" spans="5:81">
      <c r="E280" s="127"/>
      <c r="F280" s="128"/>
      <c r="G280" s="128"/>
      <c r="H280" s="429"/>
      <c r="I280" s="128"/>
      <c r="J280" s="128"/>
      <c r="K280" s="128"/>
      <c r="L280" s="128"/>
      <c r="M280" s="128"/>
      <c r="N280" s="128"/>
      <c r="O280" s="128"/>
      <c r="P280" s="128"/>
      <c r="Q280" s="128"/>
      <c r="R280" s="128"/>
      <c r="S280" s="128"/>
      <c r="T280" s="128"/>
      <c r="U280" s="128"/>
      <c r="V280" s="128"/>
      <c r="W280" s="128"/>
      <c r="X280" s="128"/>
      <c r="Y280" s="128"/>
      <c r="Z280" s="417"/>
      <c r="CB280" s="4"/>
      <c r="CC280" s="79"/>
    </row>
    <row r="281" spans="5:81">
      <c r="E281" s="127"/>
      <c r="F281" s="128"/>
      <c r="G281" s="128"/>
      <c r="H281" s="429"/>
      <c r="I281" s="128"/>
      <c r="J281" s="128"/>
      <c r="K281" s="128"/>
      <c r="L281" s="128"/>
      <c r="M281" s="128"/>
      <c r="N281" s="128"/>
      <c r="O281" s="128"/>
      <c r="P281" s="128"/>
      <c r="Q281" s="128"/>
      <c r="R281" s="128"/>
      <c r="S281" s="128"/>
      <c r="T281" s="128"/>
      <c r="U281" s="128"/>
      <c r="V281" s="128"/>
      <c r="W281" s="128"/>
      <c r="X281" s="128"/>
      <c r="Y281" s="128"/>
      <c r="Z281" s="417"/>
      <c r="CB281" s="4"/>
      <c r="CC281" s="79"/>
    </row>
    <row r="282" spans="5:81">
      <c r="E282" s="127"/>
      <c r="F282" s="128"/>
      <c r="G282" s="429"/>
      <c r="H282" s="128"/>
      <c r="I282" s="128"/>
      <c r="J282" s="128"/>
      <c r="K282" s="128"/>
      <c r="L282" s="128"/>
      <c r="M282" s="128"/>
      <c r="N282" s="128"/>
      <c r="O282" s="128"/>
      <c r="P282" s="128"/>
      <c r="Q282" s="128"/>
      <c r="R282" s="128"/>
      <c r="S282" s="128"/>
      <c r="T282" s="128"/>
      <c r="U282" s="128"/>
      <c r="V282" s="128"/>
      <c r="W282" s="128"/>
      <c r="X282" s="128"/>
      <c r="Y282" s="128"/>
      <c r="Z282" s="417"/>
    </row>
    <row r="283" spans="5:81">
      <c r="E283" s="127"/>
      <c r="F283" s="128"/>
      <c r="G283" s="429"/>
      <c r="H283" s="128"/>
      <c r="I283" s="128"/>
      <c r="J283" s="128"/>
      <c r="K283" s="128"/>
      <c r="L283" s="128"/>
      <c r="M283" s="128"/>
      <c r="N283" s="128"/>
      <c r="O283" s="128"/>
      <c r="P283" s="128"/>
      <c r="Q283" s="128"/>
      <c r="R283" s="128"/>
      <c r="S283" s="128"/>
      <c r="T283" s="128"/>
      <c r="U283" s="128"/>
      <c r="V283" s="128"/>
      <c r="W283" s="416"/>
      <c r="X283" s="128"/>
      <c r="Y283" s="128"/>
      <c r="Z283" s="417"/>
    </row>
    <row r="284" spans="5:81">
      <c r="E284" s="127"/>
      <c r="F284" s="128"/>
      <c r="G284" s="430"/>
      <c r="H284" s="128"/>
      <c r="I284" s="128"/>
      <c r="J284" s="128"/>
      <c r="K284" s="128"/>
      <c r="L284" s="128"/>
      <c r="M284" s="128"/>
      <c r="N284" s="128"/>
      <c r="O284" s="128"/>
      <c r="P284" s="128"/>
      <c r="Q284" s="128"/>
      <c r="R284" s="128"/>
      <c r="S284" s="128"/>
      <c r="T284" s="128"/>
      <c r="U284" s="128"/>
      <c r="V284" s="128"/>
      <c r="W284" s="128"/>
      <c r="X284" s="128"/>
      <c r="Y284" s="128"/>
      <c r="Z284" s="417"/>
    </row>
    <row r="285" spans="5:81">
      <c r="E285" s="127"/>
      <c r="F285" s="128"/>
      <c r="G285" s="429"/>
      <c r="H285" s="128"/>
      <c r="I285" s="128"/>
      <c r="J285" s="128"/>
      <c r="K285" s="128"/>
      <c r="L285" s="128"/>
      <c r="M285" s="128"/>
      <c r="N285" s="128"/>
      <c r="O285" s="128"/>
      <c r="P285" s="128"/>
      <c r="Q285" s="128"/>
      <c r="R285" s="128"/>
      <c r="S285" s="128"/>
      <c r="T285" s="128"/>
      <c r="U285" s="128"/>
      <c r="V285" s="128"/>
      <c r="W285" s="128"/>
      <c r="X285" s="128"/>
      <c r="Y285" s="128"/>
      <c r="Z285" s="417"/>
    </row>
    <row r="286" spans="5:81">
      <c r="E286" s="127"/>
      <c r="F286" s="128"/>
      <c r="G286" s="429"/>
      <c r="H286" s="128"/>
      <c r="I286" s="128"/>
      <c r="J286" s="128"/>
      <c r="K286" s="128"/>
      <c r="L286" s="128"/>
      <c r="M286" s="128"/>
      <c r="N286" s="128"/>
      <c r="O286" s="128"/>
      <c r="P286" s="128"/>
      <c r="Q286" s="128"/>
      <c r="R286" s="128"/>
      <c r="S286" s="128"/>
      <c r="T286" s="128"/>
      <c r="U286" s="128"/>
      <c r="V286" s="128"/>
      <c r="W286" s="128"/>
      <c r="X286" s="128"/>
      <c r="Y286" s="128"/>
      <c r="Z286" s="417"/>
    </row>
    <row r="287" spans="5:81">
      <c r="E287" s="127"/>
      <c r="F287" s="128"/>
      <c r="G287" s="429"/>
      <c r="H287" s="128"/>
      <c r="I287" s="128"/>
      <c r="J287" s="128"/>
      <c r="K287" s="128"/>
      <c r="L287" s="128"/>
      <c r="M287" s="128"/>
      <c r="N287" s="128"/>
      <c r="O287" s="128"/>
      <c r="P287" s="128"/>
      <c r="Q287" s="128"/>
      <c r="R287" s="128"/>
      <c r="S287" s="128"/>
      <c r="T287" s="128"/>
      <c r="U287" s="128"/>
      <c r="V287" s="128"/>
      <c r="W287" s="128"/>
      <c r="X287" s="128"/>
      <c r="Y287" s="128"/>
      <c r="Z287" s="417"/>
    </row>
    <row r="288" spans="5:81">
      <c r="E288" s="127"/>
      <c r="F288" s="128"/>
      <c r="G288" s="429"/>
      <c r="H288" s="128"/>
      <c r="I288" s="128"/>
      <c r="J288" s="128"/>
      <c r="K288" s="128"/>
      <c r="L288" s="128"/>
      <c r="M288" s="128"/>
      <c r="N288" s="128"/>
      <c r="O288" s="128"/>
      <c r="P288" s="128"/>
      <c r="Q288" s="128"/>
      <c r="R288" s="128"/>
      <c r="S288" s="128"/>
      <c r="T288" s="128"/>
      <c r="U288" s="128"/>
      <c r="V288" s="128"/>
      <c r="W288" s="128"/>
      <c r="X288" s="128"/>
      <c r="Y288" s="128"/>
      <c r="Z288" s="417"/>
    </row>
    <row r="289" spans="5:26">
      <c r="E289" s="127"/>
      <c r="F289" s="128"/>
      <c r="G289" s="429"/>
      <c r="H289" s="128"/>
      <c r="I289" s="128"/>
      <c r="J289" s="128"/>
      <c r="K289" s="128"/>
      <c r="L289" s="128"/>
      <c r="M289" s="128"/>
      <c r="N289" s="128"/>
      <c r="O289" s="128"/>
      <c r="P289" s="128"/>
      <c r="Q289" s="128"/>
      <c r="R289" s="128"/>
      <c r="S289" s="128"/>
      <c r="T289" s="128"/>
      <c r="U289" s="128"/>
      <c r="V289" s="128"/>
      <c r="W289" s="128"/>
      <c r="X289" s="128"/>
      <c r="Y289" s="128"/>
      <c r="Z289" s="417"/>
    </row>
    <row r="290" spans="5:26">
      <c r="E290" s="127"/>
      <c r="F290" s="128"/>
      <c r="G290" s="429"/>
      <c r="H290" s="128"/>
      <c r="I290" s="128"/>
      <c r="J290" s="128"/>
      <c r="K290" s="128"/>
      <c r="L290" s="128"/>
      <c r="M290" s="128"/>
      <c r="N290" s="128"/>
      <c r="O290" s="128"/>
      <c r="P290" s="128"/>
      <c r="Q290" s="128"/>
      <c r="R290" s="128"/>
      <c r="S290" s="128"/>
      <c r="T290" s="128"/>
      <c r="U290" s="128"/>
      <c r="V290" s="128"/>
      <c r="W290" s="128"/>
      <c r="X290" s="128"/>
      <c r="Y290" s="128"/>
      <c r="Z290" s="417"/>
    </row>
    <row r="291" spans="5:26">
      <c r="E291" s="127"/>
      <c r="F291" s="128"/>
      <c r="G291" s="429"/>
      <c r="H291" s="128"/>
      <c r="I291" s="128"/>
      <c r="J291" s="128"/>
      <c r="K291" s="128"/>
      <c r="L291" s="128"/>
      <c r="M291" s="128"/>
      <c r="N291" s="128"/>
      <c r="O291" s="128"/>
      <c r="P291" s="128"/>
      <c r="Q291" s="128"/>
      <c r="R291" s="128"/>
      <c r="S291" s="128"/>
      <c r="T291" s="128"/>
      <c r="U291" s="128"/>
      <c r="V291" s="128"/>
      <c r="W291" s="128"/>
      <c r="X291" s="128"/>
      <c r="Y291" s="128"/>
      <c r="Z291" s="417"/>
    </row>
    <row r="292" spans="5:26">
      <c r="E292" s="127"/>
      <c r="F292" s="128"/>
      <c r="G292" s="429"/>
      <c r="H292" s="128"/>
      <c r="I292" s="128"/>
      <c r="J292" s="128"/>
      <c r="K292" s="128"/>
      <c r="L292" s="128"/>
      <c r="M292" s="128"/>
      <c r="N292" s="128"/>
      <c r="O292" s="128"/>
      <c r="P292" s="128"/>
      <c r="Q292" s="128"/>
      <c r="R292" s="128"/>
      <c r="S292" s="128"/>
      <c r="T292" s="128"/>
      <c r="U292" s="128"/>
      <c r="V292" s="128"/>
      <c r="W292" s="128"/>
      <c r="X292" s="128"/>
      <c r="Y292" s="128"/>
      <c r="Z292" s="417"/>
    </row>
    <row r="293" spans="5:26">
      <c r="E293" s="127"/>
      <c r="F293" s="128"/>
      <c r="G293" s="429"/>
      <c r="H293" s="128"/>
      <c r="I293" s="128"/>
      <c r="J293" s="128"/>
      <c r="K293" s="128"/>
      <c r="L293" s="128"/>
      <c r="M293" s="128"/>
      <c r="N293" s="128"/>
      <c r="O293" s="128"/>
      <c r="P293" s="128"/>
      <c r="Q293" s="128"/>
      <c r="R293" s="128"/>
      <c r="S293" s="128"/>
      <c r="T293" s="128"/>
      <c r="U293" s="128"/>
      <c r="V293" s="128"/>
      <c r="W293" s="128"/>
      <c r="X293" s="128"/>
      <c r="Y293" s="128"/>
      <c r="Z293" s="417"/>
    </row>
    <row r="294" spans="5:26">
      <c r="E294" s="127"/>
      <c r="F294" s="128"/>
      <c r="G294" s="429"/>
      <c r="H294" s="128"/>
      <c r="I294" s="128"/>
      <c r="J294" s="128"/>
      <c r="K294" s="128"/>
      <c r="L294" s="128"/>
      <c r="M294" s="128"/>
      <c r="N294" s="128"/>
      <c r="O294" s="128"/>
      <c r="P294" s="128"/>
      <c r="Q294" s="128"/>
      <c r="R294" s="128"/>
      <c r="S294" s="128"/>
      <c r="T294" s="128"/>
      <c r="U294" s="128"/>
      <c r="V294" s="128"/>
      <c r="W294" s="128"/>
      <c r="X294" s="128"/>
      <c r="Y294" s="128"/>
      <c r="Z294" s="417"/>
    </row>
    <row r="295" spans="5:26">
      <c r="E295" s="127"/>
      <c r="F295" s="128"/>
      <c r="G295" s="429"/>
      <c r="H295" s="128"/>
      <c r="I295" s="128"/>
      <c r="J295" s="128"/>
      <c r="K295" s="128"/>
      <c r="L295" s="128"/>
      <c r="M295" s="128"/>
      <c r="N295" s="128"/>
      <c r="O295" s="128"/>
      <c r="P295" s="128"/>
      <c r="Q295" s="128"/>
      <c r="R295" s="128"/>
      <c r="S295" s="128"/>
      <c r="T295" s="128"/>
      <c r="U295" s="128"/>
      <c r="V295" s="128"/>
      <c r="W295" s="128"/>
      <c r="X295" s="128"/>
      <c r="Y295" s="128"/>
      <c r="Z295" s="417"/>
    </row>
    <row r="296" spans="5:26">
      <c r="E296" s="127"/>
      <c r="F296" s="128"/>
      <c r="G296" s="429"/>
      <c r="H296" s="128"/>
      <c r="I296" s="128"/>
      <c r="J296" s="128"/>
      <c r="K296" s="128"/>
      <c r="L296" s="128"/>
      <c r="M296" s="128"/>
      <c r="N296" s="128"/>
      <c r="O296" s="128"/>
      <c r="P296" s="128"/>
      <c r="Q296" s="128"/>
      <c r="R296" s="128"/>
      <c r="S296" s="128"/>
      <c r="T296" s="128"/>
      <c r="U296" s="128"/>
      <c r="V296" s="128"/>
      <c r="W296" s="128"/>
      <c r="X296" s="128"/>
      <c r="Y296" s="128"/>
      <c r="Z296" s="417"/>
    </row>
    <row r="297" spans="5:26">
      <c r="E297" s="127"/>
      <c r="F297" s="128"/>
      <c r="G297" s="429"/>
      <c r="H297" s="128"/>
      <c r="I297" s="128"/>
      <c r="J297" s="128"/>
      <c r="K297" s="128"/>
      <c r="L297" s="128"/>
      <c r="M297" s="128"/>
      <c r="N297" s="128"/>
      <c r="O297" s="128"/>
      <c r="P297" s="128"/>
      <c r="Q297" s="128"/>
      <c r="R297" s="128"/>
      <c r="S297" s="128"/>
      <c r="T297" s="128"/>
      <c r="U297" s="128"/>
      <c r="V297" s="128"/>
      <c r="W297" s="128"/>
      <c r="X297" s="128"/>
      <c r="Y297" s="128"/>
      <c r="Z297" s="417"/>
    </row>
    <row r="298" spans="5:26">
      <c r="E298" s="127"/>
      <c r="F298" s="128"/>
      <c r="G298" s="429"/>
      <c r="H298" s="128"/>
      <c r="I298" s="128"/>
      <c r="J298" s="128"/>
      <c r="K298" s="128"/>
      <c r="L298" s="128"/>
      <c r="M298" s="128"/>
      <c r="N298" s="128"/>
      <c r="O298" s="128"/>
      <c r="P298" s="128"/>
      <c r="Q298" s="128"/>
      <c r="R298" s="128"/>
      <c r="S298" s="128"/>
      <c r="T298" s="128"/>
      <c r="U298" s="128"/>
      <c r="V298" s="128"/>
      <c r="W298" s="128"/>
      <c r="X298" s="128"/>
      <c r="Y298" s="128"/>
      <c r="Z298" s="417"/>
    </row>
    <row r="299" spans="5:26">
      <c r="E299" s="127"/>
      <c r="F299" s="128"/>
      <c r="G299" s="429"/>
      <c r="H299" s="128"/>
      <c r="I299" s="128"/>
      <c r="J299" s="128"/>
      <c r="K299" s="128"/>
      <c r="L299" s="128"/>
      <c r="M299" s="128"/>
      <c r="N299" s="128"/>
      <c r="O299" s="128"/>
      <c r="P299" s="128"/>
      <c r="Q299" s="128"/>
      <c r="R299" s="128"/>
      <c r="S299" s="128"/>
      <c r="T299" s="128"/>
      <c r="U299" s="128"/>
      <c r="V299" s="128"/>
      <c r="W299" s="128"/>
      <c r="X299" s="128"/>
      <c r="Y299" s="128"/>
      <c r="Z299" s="417"/>
    </row>
    <row r="300" spans="5:26">
      <c r="E300" s="127"/>
      <c r="F300" s="128"/>
      <c r="G300" s="429"/>
      <c r="H300" s="128"/>
      <c r="I300" s="128"/>
      <c r="J300" s="128"/>
      <c r="K300" s="128"/>
      <c r="L300" s="128"/>
      <c r="M300" s="128"/>
      <c r="N300" s="128"/>
      <c r="O300" s="128"/>
      <c r="P300" s="128"/>
      <c r="Q300" s="128"/>
      <c r="R300" s="128"/>
      <c r="S300" s="128"/>
      <c r="T300" s="128"/>
      <c r="U300" s="128"/>
      <c r="V300" s="128"/>
      <c r="W300" s="128"/>
      <c r="X300" s="128"/>
      <c r="Y300" s="128"/>
      <c r="Z300" s="417"/>
    </row>
    <row r="301" spans="5:26">
      <c r="E301" s="127"/>
      <c r="F301" s="128"/>
      <c r="G301" s="429"/>
      <c r="H301" s="128"/>
      <c r="I301" s="128"/>
      <c r="J301" s="128"/>
      <c r="K301" s="128"/>
      <c r="L301" s="128"/>
      <c r="M301" s="128"/>
      <c r="N301" s="128"/>
      <c r="O301" s="128"/>
      <c r="P301" s="128"/>
      <c r="Q301" s="128"/>
      <c r="R301" s="128"/>
      <c r="S301" s="128"/>
      <c r="T301" s="128"/>
      <c r="U301" s="128"/>
      <c r="V301" s="128"/>
      <c r="W301" s="128"/>
      <c r="X301" s="128"/>
      <c r="Y301" s="128"/>
      <c r="Z301" s="417"/>
    </row>
    <row r="302" spans="5:26">
      <c r="E302" s="127"/>
      <c r="F302" s="128"/>
      <c r="G302" s="430"/>
      <c r="H302" s="128"/>
      <c r="I302" s="128"/>
      <c r="J302" s="128"/>
      <c r="K302" s="128"/>
      <c r="L302" s="128"/>
      <c r="M302" s="128"/>
      <c r="N302" s="128"/>
      <c r="O302" s="128"/>
      <c r="P302" s="128"/>
      <c r="Q302" s="128"/>
      <c r="R302" s="128"/>
      <c r="S302" s="128"/>
      <c r="T302" s="128"/>
      <c r="U302" s="128"/>
      <c r="V302" s="128"/>
      <c r="W302" s="128"/>
      <c r="X302" s="128"/>
      <c r="Y302" s="128"/>
      <c r="Z302" s="417"/>
    </row>
    <row r="303" spans="5:26">
      <c r="E303" s="127"/>
      <c r="F303" s="128"/>
      <c r="G303" s="429"/>
      <c r="H303" s="128"/>
      <c r="I303" s="128"/>
      <c r="J303" s="128"/>
      <c r="K303" s="128"/>
      <c r="L303" s="128"/>
      <c r="M303" s="128"/>
      <c r="N303" s="128"/>
      <c r="O303" s="128"/>
      <c r="P303" s="128"/>
      <c r="Q303" s="128"/>
      <c r="R303" s="128"/>
      <c r="S303" s="128"/>
      <c r="T303" s="128"/>
      <c r="U303" s="128"/>
      <c r="V303" s="128"/>
      <c r="W303" s="128"/>
      <c r="X303" s="128"/>
      <c r="Y303" s="128"/>
      <c r="Z303" s="417"/>
    </row>
    <row r="304" spans="5:26">
      <c r="E304" s="127"/>
      <c r="F304" s="128"/>
      <c r="G304" s="429"/>
      <c r="H304" s="128"/>
      <c r="I304" s="128"/>
      <c r="J304" s="128"/>
      <c r="K304" s="128"/>
      <c r="L304" s="128"/>
      <c r="M304" s="128"/>
      <c r="N304" s="128"/>
      <c r="O304" s="128"/>
      <c r="P304" s="128"/>
      <c r="Q304" s="128"/>
      <c r="R304" s="128"/>
      <c r="S304" s="128"/>
      <c r="T304" s="128"/>
      <c r="U304" s="128"/>
      <c r="V304" s="128"/>
      <c r="W304" s="128"/>
      <c r="X304" s="128"/>
      <c r="Y304" s="128"/>
      <c r="Z304" s="417"/>
    </row>
    <row r="305" spans="5:26">
      <c r="E305" s="127"/>
      <c r="F305" s="128"/>
      <c r="G305" s="429"/>
      <c r="H305" s="128"/>
      <c r="I305" s="128"/>
      <c r="J305" s="128"/>
      <c r="K305" s="128"/>
      <c r="L305" s="128"/>
      <c r="M305" s="128"/>
      <c r="N305" s="128"/>
      <c r="O305" s="128"/>
      <c r="P305" s="128"/>
      <c r="Q305" s="128"/>
      <c r="R305" s="128"/>
      <c r="S305" s="128"/>
      <c r="T305" s="128"/>
      <c r="U305" s="128"/>
      <c r="V305" s="128"/>
      <c r="W305" s="128"/>
      <c r="X305" s="128"/>
      <c r="Y305" s="128"/>
      <c r="Z305" s="417"/>
    </row>
    <row r="306" spans="5:26">
      <c r="E306" s="127"/>
      <c r="F306" s="128"/>
      <c r="G306" s="160"/>
      <c r="H306" s="128"/>
      <c r="I306" s="128"/>
      <c r="J306" s="128"/>
      <c r="K306" s="128"/>
      <c r="L306" s="128"/>
      <c r="M306" s="128"/>
      <c r="N306" s="128"/>
      <c r="O306" s="128"/>
      <c r="P306" s="128"/>
      <c r="Q306" s="128"/>
      <c r="R306" s="128"/>
      <c r="S306" s="128"/>
      <c r="T306" s="128"/>
      <c r="U306" s="128"/>
      <c r="V306" s="128"/>
      <c r="W306" s="128"/>
      <c r="X306" s="128"/>
      <c r="Y306" s="128"/>
      <c r="Z306" s="417"/>
    </row>
    <row r="307" spans="5:26" ht="15.75" customHeight="1">
      <c r="E307" s="127"/>
      <c r="F307" s="128"/>
      <c r="G307" s="416"/>
      <c r="H307" s="128"/>
      <c r="I307" s="128"/>
      <c r="J307" s="128"/>
      <c r="K307" s="128"/>
      <c r="L307" s="128"/>
      <c r="M307" s="128"/>
      <c r="N307" s="128"/>
      <c r="O307" s="128"/>
      <c r="P307" s="128"/>
      <c r="Q307" s="128"/>
      <c r="R307" s="128"/>
      <c r="S307" s="128"/>
      <c r="T307" s="128"/>
      <c r="U307" s="128"/>
      <c r="V307" s="128"/>
      <c r="W307" s="128"/>
      <c r="X307" s="128"/>
      <c r="Y307" s="128"/>
      <c r="Z307" s="417"/>
    </row>
    <row r="308" spans="5:26">
      <c r="E308" s="127"/>
      <c r="F308" s="128"/>
      <c r="G308" s="429"/>
      <c r="H308" s="128"/>
      <c r="I308" s="128"/>
      <c r="J308" s="128"/>
      <c r="K308" s="128"/>
      <c r="L308" s="128"/>
      <c r="M308" s="128"/>
      <c r="N308" s="128"/>
      <c r="O308" s="128"/>
      <c r="P308" s="128"/>
      <c r="Q308" s="128"/>
      <c r="R308" s="128"/>
      <c r="S308" s="128"/>
      <c r="T308" s="128"/>
      <c r="U308" s="128"/>
      <c r="V308" s="128"/>
      <c r="W308" s="128"/>
      <c r="X308" s="128"/>
      <c r="Y308" s="128"/>
      <c r="Z308" s="417"/>
    </row>
    <row r="309" spans="5:26">
      <c r="E309" s="127"/>
      <c r="F309" s="128"/>
      <c r="G309" s="160"/>
      <c r="H309" s="128"/>
      <c r="I309" s="128"/>
      <c r="J309" s="128"/>
      <c r="K309" s="128"/>
      <c r="L309" s="128"/>
      <c r="M309" s="128"/>
      <c r="N309" s="128"/>
      <c r="O309" s="128"/>
      <c r="P309" s="128"/>
      <c r="Q309" s="128"/>
      <c r="R309" s="128"/>
      <c r="S309" s="128"/>
      <c r="T309" s="128"/>
      <c r="U309" s="128"/>
      <c r="V309" s="128"/>
      <c r="W309" s="128"/>
      <c r="X309" s="128"/>
      <c r="Y309" s="128"/>
      <c r="Z309" s="417"/>
    </row>
    <row r="310" spans="5:26">
      <c r="E310" s="127"/>
      <c r="F310" s="128"/>
      <c r="G310" s="429"/>
      <c r="H310" s="416"/>
      <c r="I310" s="128"/>
      <c r="J310" s="128"/>
      <c r="K310" s="128"/>
      <c r="L310" s="128"/>
      <c r="M310" s="128"/>
      <c r="N310" s="128"/>
      <c r="O310" s="128"/>
      <c r="P310" s="128"/>
      <c r="Q310" s="128"/>
      <c r="R310" s="128"/>
      <c r="S310" s="128"/>
      <c r="T310" s="128"/>
      <c r="U310" s="128"/>
      <c r="V310" s="128"/>
      <c r="W310" s="128"/>
      <c r="X310" s="128"/>
      <c r="Y310" s="128"/>
      <c r="Z310" s="417"/>
    </row>
    <row r="311" spans="5:26" ht="18" thickBot="1">
      <c r="E311" s="129"/>
      <c r="F311" s="130"/>
      <c r="G311" s="418"/>
      <c r="H311" s="130"/>
      <c r="I311" s="130"/>
      <c r="J311" s="130"/>
      <c r="K311" s="130"/>
      <c r="L311" s="130"/>
      <c r="M311" s="130"/>
      <c r="N311" s="130"/>
      <c r="O311" s="130"/>
      <c r="P311" s="130"/>
      <c r="Q311" s="130"/>
      <c r="R311" s="130"/>
      <c r="S311" s="130"/>
      <c r="T311" s="130"/>
      <c r="U311" s="130"/>
      <c r="V311" s="130"/>
      <c r="W311" s="130"/>
      <c r="X311" s="130"/>
      <c r="Y311" s="130"/>
      <c r="Z311" s="132"/>
    </row>
    <row r="312" spans="5:26">
      <c r="G312" s="6"/>
    </row>
    <row r="313" spans="5:26">
      <c r="G313" s="6"/>
    </row>
    <row r="314" spans="5:26">
      <c r="G314" s="6"/>
    </row>
    <row r="315" spans="5:26">
      <c r="G315" s="6"/>
    </row>
    <row r="316" spans="5:26">
      <c r="G316" s="6"/>
    </row>
    <row r="317" spans="5:26">
      <c r="G317" s="6"/>
    </row>
    <row r="318" spans="5:26">
      <c r="G318" s="6"/>
    </row>
    <row r="319" spans="5:26">
      <c r="G319" s="6"/>
    </row>
    <row r="320" spans="5:26">
      <c r="G320" s="6"/>
    </row>
    <row r="321" spans="7:7">
      <c r="G321" s="6"/>
    </row>
    <row r="322" spans="7:7">
      <c r="G322" s="6"/>
    </row>
    <row r="323" spans="7:7">
      <c r="G323" s="6"/>
    </row>
    <row r="324" spans="7:7">
      <c r="G324" s="6"/>
    </row>
    <row r="325" spans="7:7">
      <c r="G325" s="6"/>
    </row>
    <row r="326" spans="7:7">
      <c r="G326" s="6"/>
    </row>
    <row r="327" spans="7:7">
      <c r="G327" s="6"/>
    </row>
    <row r="328" spans="7:7">
      <c r="G328" s="6"/>
    </row>
    <row r="329" spans="7:7">
      <c r="G329" s="6"/>
    </row>
    <row r="330" spans="7:7">
      <c r="G330" s="6"/>
    </row>
    <row r="331" spans="7:7">
      <c r="G331" s="6"/>
    </row>
    <row r="332" spans="7:7">
      <c r="G332" s="6"/>
    </row>
    <row r="340" spans="7:7">
      <c r="G340" s="20"/>
    </row>
    <row r="341" spans="7:7">
      <c r="G341" s="5"/>
    </row>
    <row r="342" spans="7:7">
      <c r="G342" s="5"/>
    </row>
    <row r="343" spans="7:7">
      <c r="G343" s="20"/>
    </row>
    <row r="344" spans="7:7">
      <c r="G344" s="20"/>
    </row>
    <row r="345" spans="7:7">
      <c r="G345" s="6"/>
    </row>
    <row r="346" spans="7:7">
      <c r="G346" s="6"/>
    </row>
    <row r="347" spans="7:7">
      <c r="G347" s="6"/>
    </row>
    <row r="348" spans="7:7">
      <c r="G348" s="6"/>
    </row>
    <row r="349" spans="7:7">
      <c r="G349" s="6"/>
    </row>
    <row r="350" spans="7:7">
      <c r="G350" s="6"/>
    </row>
    <row r="351" spans="7:7">
      <c r="G351" s="6"/>
    </row>
    <row r="352" spans="7:7">
      <c r="G352" s="6"/>
    </row>
    <row r="353" spans="7:7">
      <c r="G353" s="33"/>
    </row>
    <row r="354" spans="7:7">
      <c r="G354" s="6"/>
    </row>
    <row r="355" spans="7:7">
      <c r="G355" s="6"/>
    </row>
    <row r="356" spans="7:7">
      <c r="G356" s="6"/>
    </row>
    <row r="357" spans="7:7">
      <c r="G357" s="6"/>
    </row>
    <row r="358" spans="7:7">
      <c r="G358" s="6"/>
    </row>
    <row r="359" spans="7:7">
      <c r="G359" s="6"/>
    </row>
    <row r="360" spans="7:7">
      <c r="G360" s="6"/>
    </row>
    <row r="361" spans="7:7">
      <c r="G361" s="6"/>
    </row>
    <row r="362" spans="7:7">
      <c r="G362" s="6"/>
    </row>
    <row r="363" spans="7:7">
      <c r="G363" s="6"/>
    </row>
    <row r="364" spans="7:7">
      <c r="G364" s="6"/>
    </row>
    <row r="365" spans="7:7">
      <c r="G365" s="6"/>
    </row>
    <row r="366" spans="7:7">
      <c r="G366" s="6"/>
    </row>
    <row r="367" spans="7:7">
      <c r="G367" s="6"/>
    </row>
    <row r="368" spans="7:7">
      <c r="G368" s="33"/>
    </row>
    <row r="369" spans="7:7">
      <c r="G369" s="33"/>
    </row>
    <row r="370" spans="7:7">
      <c r="G370" s="6"/>
    </row>
    <row r="371" spans="7:7">
      <c r="G371" s="6"/>
    </row>
    <row r="372" spans="7:7">
      <c r="G372" s="6"/>
    </row>
    <row r="373" spans="7:7">
      <c r="G373" s="6"/>
    </row>
    <row r="374" spans="7:7">
      <c r="G374" s="6"/>
    </row>
    <row r="375" spans="7:7">
      <c r="G375" s="6"/>
    </row>
    <row r="376" spans="7:7">
      <c r="G376" s="6"/>
    </row>
    <row r="377" spans="7:7">
      <c r="G377" s="6"/>
    </row>
    <row r="378" spans="7:7">
      <c r="G378" s="6"/>
    </row>
    <row r="379" spans="7:7">
      <c r="G379" s="6"/>
    </row>
    <row r="380" spans="7:7">
      <c r="G380" s="6"/>
    </row>
    <row r="381" spans="7:7">
      <c r="G381" s="6"/>
    </row>
    <row r="382" spans="7:7">
      <c r="G382" s="6"/>
    </row>
    <row r="383" spans="7:7">
      <c r="G383" s="6"/>
    </row>
    <row r="384" spans="7:7">
      <c r="G384" s="6"/>
    </row>
    <row r="385" spans="7:7">
      <c r="G385" s="6"/>
    </row>
    <row r="386" spans="7:7">
      <c r="G386" s="6"/>
    </row>
    <row r="387" spans="7:7">
      <c r="G387" s="6"/>
    </row>
    <row r="388" spans="7:7">
      <c r="G388" s="6"/>
    </row>
    <row r="389" spans="7:7">
      <c r="G389" s="6"/>
    </row>
    <row r="390" spans="7:7">
      <c r="G390" s="6"/>
    </row>
    <row r="391" spans="7:7">
      <c r="G391" s="6"/>
    </row>
    <row r="392" spans="7:7">
      <c r="G392" s="6"/>
    </row>
  </sheetData>
  <sheetProtection sheet="1" objects="1" scenarios="1"/>
  <mergeCells count="128">
    <mergeCell ref="J100:J101"/>
    <mergeCell ref="H16:I16"/>
    <mergeCell ref="H18:I18"/>
    <mergeCell ref="H20:I20"/>
    <mergeCell ref="H28:I28"/>
    <mergeCell ref="H30:I30"/>
    <mergeCell ref="H32:I32"/>
    <mergeCell ref="H36:I36"/>
    <mergeCell ref="H34:I34"/>
    <mergeCell ref="H54:M54"/>
    <mergeCell ref="H73:M73"/>
    <mergeCell ref="H68:M68"/>
    <mergeCell ref="H71:M71"/>
    <mergeCell ref="H72:M72"/>
    <mergeCell ref="H77:M77"/>
    <mergeCell ref="H67:M67"/>
    <mergeCell ref="K274:M274"/>
    <mergeCell ref="H277:M277"/>
    <mergeCell ref="H243:O243"/>
    <mergeCell ref="H262:O262"/>
    <mergeCell ref="I268:M268"/>
    <mergeCell ref="I248:M248"/>
    <mergeCell ref="H249:M249"/>
    <mergeCell ref="H272:M272"/>
    <mergeCell ref="J265:M265"/>
    <mergeCell ref="J269:M269"/>
    <mergeCell ref="K270:M270"/>
    <mergeCell ref="J273:M273"/>
    <mergeCell ref="K275:O275"/>
    <mergeCell ref="H245:M245"/>
    <mergeCell ref="I264:M264"/>
    <mergeCell ref="I266:M266"/>
    <mergeCell ref="N12:Y12"/>
    <mergeCell ref="H26:J26"/>
    <mergeCell ref="H247:M247"/>
    <mergeCell ref="F190:Y190"/>
    <mergeCell ref="H62:M62"/>
    <mergeCell ref="I42:J42"/>
    <mergeCell ref="F189:Y189"/>
    <mergeCell ref="G105:G106"/>
    <mergeCell ref="G107:G108"/>
    <mergeCell ref="G109:G110"/>
    <mergeCell ref="G111:G112"/>
    <mergeCell ref="G125:G126"/>
    <mergeCell ref="G127:G128"/>
    <mergeCell ref="G129:G130"/>
    <mergeCell ref="R245:W247"/>
    <mergeCell ref="R243:W243"/>
    <mergeCell ref="H232:M232"/>
    <mergeCell ref="G103:G104"/>
    <mergeCell ref="G131:G132"/>
    <mergeCell ref="G113:G114"/>
    <mergeCell ref="H234:L234"/>
    <mergeCell ref="H230:L230"/>
    <mergeCell ref="H235:L235"/>
    <mergeCell ref="F98:Y98"/>
    <mergeCell ref="F3:Y3"/>
    <mergeCell ref="H240:L240"/>
    <mergeCell ref="I231:L231"/>
    <mergeCell ref="I236:L236"/>
    <mergeCell ref="J91:L91"/>
    <mergeCell ref="J92:L92"/>
    <mergeCell ref="J93:L93"/>
    <mergeCell ref="H91:I91"/>
    <mergeCell ref="H92:I92"/>
    <mergeCell ref="H93:I93"/>
    <mergeCell ref="H239:L239"/>
    <mergeCell ref="J237:M237"/>
    <mergeCell ref="H63:M63"/>
    <mergeCell ref="H69:M69"/>
    <mergeCell ref="L12:M12"/>
    <mergeCell ref="H47:M47"/>
    <mergeCell ref="H60:M60"/>
    <mergeCell ref="H56:M56"/>
    <mergeCell ref="H58:M58"/>
    <mergeCell ref="H57:M57"/>
    <mergeCell ref="H59:M59"/>
    <mergeCell ref="H55:M55"/>
    <mergeCell ref="H61:M61"/>
    <mergeCell ref="T6:Y10"/>
    <mergeCell ref="F1:Z1"/>
    <mergeCell ref="J2:R2"/>
    <mergeCell ref="G227:Y227"/>
    <mergeCell ref="F97:Y97"/>
    <mergeCell ref="N100:Y101"/>
    <mergeCell ref="F2:H2"/>
    <mergeCell ref="E100:F102"/>
    <mergeCell ref="G123:G124"/>
    <mergeCell ref="G115:G116"/>
    <mergeCell ref="G117:G118"/>
    <mergeCell ref="G119:G120"/>
    <mergeCell ref="G121:G122"/>
    <mergeCell ref="H75:M75"/>
    <mergeCell ref="H76:M76"/>
    <mergeCell ref="H52:M52"/>
    <mergeCell ref="J5:R5"/>
    <mergeCell ref="H27:J27"/>
    <mergeCell ref="H43:M43"/>
    <mergeCell ref="H44:M44"/>
    <mergeCell ref="H45:M45"/>
    <mergeCell ref="H49:M49"/>
    <mergeCell ref="H51:M51"/>
    <mergeCell ref="H50:M50"/>
    <mergeCell ref="H46:M46"/>
    <mergeCell ref="H229:L229"/>
    <mergeCell ref="G208:O208"/>
    <mergeCell ref="F207:O207"/>
    <mergeCell ref="F194:Y194"/>
    <mergeCell ref="E196:F198"/>
    <mergeCell ref="N196:Y197"/>
    <mergeCell ref="G133:G134"/>
    <mergeCell ref="G135:G136"/>
    <mergeCell ref="G137:G138"/>
    <mergeCell ref="G139:G140"/>
    <mergeCell ref="G141:G142"/>
    <mergeCell ref="G143:G144"/>
    <mergeCell ref="G145:G146"/>
    <mergeCell ref="G147:G148"/>
    <mergeCell ref="G149:G150"/>
    <mergeCell ref="M152:P152"/>
    <mergeCell ref="G224:H224"/>
    <mergeCell ref="E210:F212"/>
    <mergeCell ref="G155:N155"/>
    <mergeCell ref="G156:N156"/>
    <mergeCell ref="F192:Y192"/>
    <mergeCell ref="F191:Y191"/>
    <mergeCell ref="J157:J158"/>
    <mergeCell ref="E225:H225"/>
  </mergeCells>
  <phoneticPr fontId="26" type="noConversion"/>
  <dataValidations count="4">
    <dataValidation allowBlank="1" showDropDown="1" showInputMessage="1" showErrorMessage="1" sqref="H104 H142 H144 H146 H148 H150:H152 H116 H118 H120 H122 H124 H126 H128 H130 H132 H134 H136 H138 H140 H106 H108 H110 H112 H114" xr:uid="{00000000-0002-0000-0200-000000000000}"/>
    <dataValidation type="list" allowBlank="1" showInputMessage="1" showErrorMessage="1" sqref="P104" xr:uid="{00000000-0002-0000-0200-000001000000}">
      <formula1>FSG</formula1>
    </dataValidation>
    <dataValidation type="list" allowBlank="1" showDropDown="1" showInputMessage="1" showErrorMessage="1" sqref="H103 H131 H147 H149 H137 H139 H141 H145 H143 H213:H222 H117 H119 H121 H123 H125 H199:H204 H115 H127 H129 H133 H135 H105 H107 H109 H111 H113" xr:uid="{00000000-0002-0000-0200-000002000000}">
      <formula1>ForageList</formula1>
    </dataValidation>
    <dataValidation type="list" allowBlank="1" showDropDown="1" showInputMessage="1" showErrorMessage="1" sqref="K213:K215" xr:uid="{00000000-0002-0000-0200-000003000000}">
      <formula1>HayMonthMenu</formula1>
    </dataValidation>
  </dataValidations>
  <printOptions gridLines="1" gridLinesSet="0"/>
  <pageMargins left="1" right="0.25" top="0.5" bottom="0.5" header="0.5" footer="0.5"/>
  <pageSetup pageOrder="overThenDown" orientation="landscape" blackAndWhite="1" horizontalDpi="300" verticalDpi="300" r:id="rId1"/>
  <headerFooter alignWithMargins="0"/>
  <ignoredErrors>
    <ignoredError sqref="P39 S39:T39 S35:T35 P35 S37:T37 P37" 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Calculations!$U$2:$U$13</xm:f>
          </x14:formula1>
          <xm:sqref>H9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A5F32-AF37-40CC-9241-6B9C8A83D98C}">
  <sheetPr codeName="Sheet21">
    <tabColor theme="8" tint="0.59999389629810485"/>
  </sheetPr>
  <dimension ref="A1:Y179"/>
  <sheetViews>
    <sheetView view="pageLayout" zoomScaleNormal="80" zoomScaleSheetLayoutView="90" workbookViewId="0">
      <selection activeCell="B53" sqref="B53:K53"/>
    </sheetView>
  </sheetViews>
  <sheetFormatPr baseColWidth="10" defaultColWidth="9" defaultRowHeight="13"/>
  <cols>
    <col min="1" max="1" width="9" style="37"/>
    <col min="2" max="3" width="7.1640625" style="37" customWidth="1"/>
    <col min="4" max="4" width="7.6640625" style="37" customWidth="1"/>
    <col min="5" max="5" width="7.1640625" style="37" customWidth="1"/>
    <col min="6" max="6" width="7.83203125" style="37" customWidth="1"/>
    <col min="7" max="13" width="7.1640625" style="37" customWidth="1"/>
    <col min="14" max="14" width="9.1640625" style="37" customWidth="1"/>
    <col min="15" max="15" width="9" style="37"/>
    <col min="16" max="16" width="9.33203125" style="37" customWidth="1"/>
    <col min="17" max="19" width="9" style="37" hidden="1" customWidth="1"/>
    <col min="20" max="16384" width="9" style="37"/>
  </cols>
  <sheetData>
    <row r="1" spans="1:17">
      <c r="A1" s="1974" t="s">
        <v>3172</v>
      </c>
      <c r="B1" s="1974"/>
      <c r="C1" s="1974"/>
      <c r="D1" s="1974"/>
      <c r="E1" s="1974"/>
      <c r="F1" s="1974"/>
      <c r="G1" s="1974"/>
      <c r="H1" s="1974"/>
      <c r="I1" s="1974"/>
      <c r="J1" s="1974"/>
      <c r="K1" s="1974"/>
      <c r="L1" s="1974"/>
      <c r="M1" s="1974"/>
      <c r="N1" s="1974"/>
    </row>
    <row r="2" spans="1:17" ht="16">
      <c r="A2" s="1903" t="s">
        <v>2844</v>
      </c>
      <c r="B2" s="1903"/>
      <c r="C2" s="1903"/>
      <c r="D2" s="1903"/>
      <c r="E2" s="1903"/>
      <c r="F2" s="1903"/>
      <c r="G2" s="1903"/>
      <c r="H2" s="1903"/>
      <c r="I2" s="1903"/>
      <c r="J2" s="1903"/>
      <c r="K2" s="1903"/>
      <c r="L2" s="1903"/>
      <c r="M2" s="1903"/>
      <c r="N2" s="1903"/>
    </row>
    <row r="3" spans="1:17" ht="16">
      <c r="A3" s="1903" t="s">
        <v>2843</v>
      </c>
      <c r="B3" s="1903"/>
      <c r="C3" s="1903"/>
      <c r="D3" s="1903"/>
      <c r="E3" s="1903"/>
      <c r="F3" s="1903"/>
      <c r="G3" s="1903"/>
      <c r="H3" s="1903"/>
      <c r="I3" s="1903"/>
      <c r="J3" s="1903"/>
      <c r="K3" s="1903"/>
      <c r="L3" s="1903"/>
      <c r="M3" s="1903"/>
      <c r="N3" s="1903"/>
    </row>
    <row r="4" spans="1:17" ht="16">
      <c r="A4" s="1903" t="s">
        <v>2842</v>
      </c>
      <c r="B4" s="1903"/>
      <c r="C4" s="1903"/>
      <c r="D4" s="1903"/>
      <c r="E4" s="1903"/>
      <c r="F4" s="1903"/>
      <c r="G4" s="1903"/>
      <c r="H4" s="1903"/>
      <c r="I4" s="1903"/>
      <c r="J4" s="1903"/>
      <c r="K4" s="1903"/>
      <c r="L4" s="1903"/>
      <c r="M4" s="1903"/>
      <c r="N4" s="1903"/>
    </row>
    <row r="5" spans="1:17" ht="16">
      <c r="A5" s="1452"/>
      <c r="B5" s="1451"/>
      <c r="C5" s="1451"/>
      <c r="D5" s="1451"/>
      <c r="E5" s="1451"/>
      <c r="F5" s="1451"/>
      <c r="G5" s="1451"/>
      <c r="H5" s="1451"/>
      <c r="I5" s="1451"/>
      <c r="J5" s="1451"/>
      <c r="K5" s="1451"/>
      <c r="L5" s="1451"/>
      <c r="Q5" s="1450" t="s">
        <v>2841</v>
      </c>
    </row>
    <row r="6" spans="1:17" ht="16">
      <c r="A6" s="2045" t="s">
        <v>2840</v>
      </c>
      <c r="B6" s="2046"/>
      <c r="C6" s="2050">
        <f>'Step 3. FA Balance'!H6</f>
        <v>0</v>
      </c>
      <c r="D6" s="2050"/>
      <c r="E6" s="2050"/>
      <c r="F6" s="2050"/>
      <c r="G6" s="2050"/>
      <c r="H6" s="2050"/>
      <c r="I6" s="2050"/>
      <c r="K6" s="1445" t="s">
        <v>2839</v>
      </c>
      <c r="L6" s="2053"/>
      <c r="M6" s="2053"/>
      <c r="N6" s="2053"/>
      <c r="Q6" s="1449"/>
    </row>
    <row r="7" spans="1:17" ht="16">
      <c r="A7" s="1448"/>
      <c r="B7" s="1447"/>
      <c r="C7" s="1446"/>
      <c r="D7" s="1446"/>
      <c r="E7" s="1446"/>
      <c r="F7" s="1446"/>
      <c r="G7" s="1446"/>
      <c r="H7" s="1445"/>
      <c r="I7" s="1444"/>
      <c r="J7" s="1443"/>
      <c r="K7" s="1442"/>
      <c r="L7" s="1442"/>
      <c r="Q7" s="310" t="s">
        <v>2838</v>
      </c>
    </row>
    <row r="8" spans="1:17" ht="16">
      <c r="A8" s="2045" t="s">
        <v>2837</v>
      </c>
      <c r="B8" s="2036"/>
      <c r="C8" s="2049"/>
      <c r="D8" s="2049"/>
      <c r="E8" s="2049"/>
      <c r="F8" s="2049"/>
      <c r="G8" s="2049"/>
      <c r="H8" s="2049"/>
      <c r="I8" s="2049"/>
      <c r="J8" s="1943" t="s">
        <v>2836</v>
      </c>
      <c r="K8" s="1943"/>
      <c r="L8" s="2054"/>
      <c r="M8" s="2054"/>
      <c r="N8" s="2054"/>
      <c r="Q8" s="310" t="s">
        <v>2835</v>
      </c>
    </row>
    <row r="9" spans="1:17" ht="16">
      <c r="A9" s="1441"/>
      <c r="B9" s="1440"/>
      <c r="C9" s="1440"/>
      <c r="D9" s="1440"/>
      <c r="E9" s="1440"/>
      <c r="F9" s="1440"/>
      <c r="G9" s="1440"/>
      <c r="H9" s="1440"/>
      <c r="I9" s="1440"/>
      <c r="J9" s="1440"/>
      <c r="K9" s="1440"/>
      <c r="L9" s="1440"/>
      <c r="Q9" s="310" t="s">
        <v>2834</v>
      </c>
    </row>
    <row r="10" spans="1:17" ht="16">
      <c r="A10" s="2045" t="s">
        <v>24</v>
      </c>
      <c r="B10" s="2046"/>
      <c r="C10" s="2050">
        <f>'Step 3. FA Balance'!H7</f>
        <v>0</v>
      </c>
      <c r="D10" s="2050"/>
      <c r="E10" s="2050"/>
      <c r="F10" s="2050"/>
      <c r="G10" s="2050"/>
      <c r="H10" s="2050"/>
      <c r="I10" s="2050"/>
      <c r="J10" s="2038" t="s">
        <v>2833</v>
      </c>
      <c r="K10" s="2038"/>
      <c r="L10" s="2047"/>
      <c r="M10" s="2047"/>
      <c r="N10" s="2047"/>
      <c r="Q10" s="310" t="s">
        <v>2832</v>
      </c>
    </row>
    <row r="11" spans="1:17" ht="16">
      <c r="A11" s="1441"/>
      <c r="B11" s="1440"/>
      <c r="C11" s="1440"/>
      <c r="D11" s="1440"/>
      <c r="E11" s="1440"/>
      <c r="F11" s="1440"/>
      <c r="G11" s="1440"/>
      <c r="H11" s="1440"/>
      <c r="I11" s="1440"/>
      <c r="J11" s="1440"/>
      <c r="K11" s="1440"/>
      <c r="L11" s="1440"/>
      <c r="Q11" s="310" t="s">
        <v>2831</v>
      </c>
    </row>
    <row r="12" spans="1:17" ht="23.25" customHeight="1">
      <c r="A12" s="2045" t="s">
        <v>2830</v>
      </c>
      <c r="B12" s="2046"/>
      <c r="C12" s="2049"/>
      <c r="D12" s="2049"/>
      <c r="E12" s="2049"/>
      <c r="F12" s="2049"/>
      <c r="G12" s="2049"/>
      <c r="H12" s="2049"/>
      <c r="I12" s="2049"/>
      <c r="J12" s="2038" t="s">
        <v>2829</v>
      </c>
      <c r="K12" s="2038"/>
      <c r="L12" s="2048">
        <f>'Step 3. FA Balance'!H9</f>
        <v>0</v>
      </c>
      <c r="M12" s="2048"/>
      <c r="N12" s="2048"/>
      <c r="Q12" s="310" t="s">
        <v>2828</v>
      </c>
    </row>
    <row r="13" spans="1:17" ht="16">
      <c r="A13" s="1439"/>
      <c r="B13" s="1438"/>
      <c r="C13" s="1438"/>
      <c r="D13" s="1438"/>
      <c r="E13" s="1438"/>
      <c r="F13" s="1438"/>
      <c r="G13" s="1438"/>
      <c r="H13" s="1438"/>
      <c r="I13" s="1438"/>
      <c r="J13" s="1438"/>
      <c r="K13" s="1438"/>
      <c r="L13" s="1438"/>
      <c r="Q13" s="310" t="s">
        <v>2827</v>
      </c>
    </row>
    <row r="14" spans="1:17" ht="16">
      <c r="A14" s="1991" t="s">
        <v>2826</v>
      </c>
      <c r="B14" s="1991"/>
      <c r="C14" s="1991"/>
      <c r="D14" s="1991"/>
      <c r="E14" s="1991"/>
      <c r="F14" s="1991"/>
      <c r="G14" s="1991"/>
      <c r="H14" s="1991"/>
      <c r="I14" s="1991"/>
      <c r="J14" s="1991"/>
      <c r="K14" s="1991"/>
      <c r="L14" s="1991"/>
      <c r="M14" s="1991"/>
      <c r="N14" s="1991"/>
    </row>
    <row r="15" spans="1:17">
      <c r="B15" s="2018"/>
      <c r="C15" s="2018"/>
      <c r="D15" s="2018"/>
      <c r="E15" s="2018"/>
      <c r="F15" s="2018"/>
      <c r="G15" s="2018"/>
      <c r="H15" s="2018"/>
      <c r="I15" s="2018"/>
      <c r="J15" s="2018"/>
      <c r="K15" s="2018"/>
      <c r="L15" s="2018"/>
      <c r="M15" s="2018"/>
      <c r="N15" s="2018"/>
    </row>
    <row r="16" spans="1:17">
      <c r="B16" s="2018"/>
      <c r="C16" s="2018"/>
      <c r="D16" s="2018"/>
      <c r="E16" s="2018"/>
      <c r="F16" s="2018"/>
      <c r="G16" s="2018"/>
      <c r="H16" s="2018"/>
      <c r="I16" s="2018"/>
      <c r="J16" s="2018"/>
      <c r="K16" s="2018"/>
      <c r="L16" s="2018"/>
      <c r="M16" s="2018"/>
      <c r="N16" s="2018"/>
    </row>
    <row r="17" spans="1:19">
      <c r="B17" s="2018"/>
      <c r="C17" s="2018"/>
      <c r="D17" s="2018"/>
      <c r="E17" s="2018"/>
      <c r="F17" s="2018"/>
      <c r="G17" s="2018"/>
      <c r="H17" s="2018"/>
      <c r="I17" s="2018"/>
      <c r="J17" s="2018"/>
      <c r="K17" s="2018"/>
      <c r="L17" s="2018"/>
      <c r="M17" s="2018"/>
      <c r="N17" s="2018"/>
    </row>
    <row r="18" spans="1:19">
      <c r="B18" s="2018"/>
      <c r="C18" s="2018"/>
      <c r="D18" s="2018"/>
      <c r="E18" s="2018"/>
      <c r="F18" s="2018"/>
      <c r="G18" s="2018"/>
      <c r="H18" s="2018"/>
      <c r="I18" s="2018"/>
      <c r="J18" s="2018"/>
      <c r="K18" s="2018"/>
      <c r="L18" s="2018"/>
      <c r="M18" s="2018"/>
      <c r="N18" s="2018"/>
    </row>
    <row r="20" spans="1:19" ht="16">
      <c r="A20" s="1991" t="s">
        <v>2825</v>
      </c>
      <c r="B20" s="1991"/>
      <c r="C20" s="1991"/>
      <c r="D20" s="1991"/>
      <c r="E20" s="1991"/>
      <c r="F20" s="1991"/>
      <c r="G20" s="1991"/>
      <c r="H20" s="1991"/>
      <c r="I20" s="1991"/>
      <c r="J20" s="1991"/>
      <c r="K20" s="1991"/>
      <c r="L20" s="1991"/>
      <c r="M20" s="1991"/>
      <c r="N20" s="1991"/>
    </row>
    <row r="21" spans="1:19" ht="15.75" customHeight="1">
      <c r="B21" s="36" t="s">
        <v>2824</v>
      </c>
    </row>
    <row r="22" spans="1:19" hidden="1"/>
    <row r="23" spans="1:19" hidden="1">
      <c r="A23" s="2036" t="s">
        <v>2823</v>
      </c>
      <c r="B23" s="2036"/>
      <c r="C23" s="2036"/>
      <c r="D23" s="2036"/>
      <c r="E23" s="2036"/>
      <c r="F23" s="2036"/>
      <c r="G23" s="2036"/>
      <c r="H23" s="2036"/>
      <c r="I23" s="2036"/>
      <c r="J23" s="2036"/>
      <c r="K23" s="2036"/>
      <c r="L23" s="2051" t="s">
        <v>749</v>
      </c>
      <c r="M23" s="2051"/>
    </row>
    <row r="24" spans="1:19" ht="15" hidden="1">
      <c r="A24" s="1437">
        <v>383</v>
      </c>
      <c r="B24" s="2039" t="str">
        <f>IF(A24=0,"",VLOOKUP(A24,ForageProductionModel!AZ5:BO1005,16))</f>
        <v>Waimea medial very fine sandy loam, 0 to 6 percent slopes</v>
      </c>
      <c r="C24" s="2039"/>
      <c r="D24" s="2039"/>
      <c r="E24" s="2039"/>
      <c r="F24" s="2039"/>
      <c r="G24" s="2039"/>
      <c r="H24" s="2039"/>
      <c r="I24" s="2039"/>
      <c r="J24" s="2039"/>
      <c r="K24" s="2039"/>
      <c r="L24" s="2051">
        <f>IF(A24=0,"",INDEX(ForageProductionModel!$BA$5:$BA$1005,MATCH(A24,ForageProductionModel!$AZ$5:$AZ$1005,0),1))</f>
        <v>4</v>
      </c>
      <c r="M24" s="2051"/>
    </row>
    <row r="25" spans="1:19" ht="15" hidden="1">
      <c r="A25" s="1437"/>
      <c r="B25" s="2039" t="str">
        <f>IF(A25=0,"",VLOOKUP(A25,ForageProductionModel!AZ6:BO1006,16))</f>
        <v/>
      </c>
      <c r="C25" s="2039"/>
      <c r="D25" s="2039"/>
      <c r="E25" s="2039"/>
      <c r="F25" s="2039"/>
      <c r="G25" s="2039"/>
      <c r="H25" s="2039"/>
      <c r="I25" s="2039"/>
      <c r="J25" s="2039"/>
      <c r="K25" s="2039"/>
      <c r="L25" s="2051" t="str">
        <f>IF(A25=0,"",INDEX(ForageProductionModel!$BA$5:$BA$1005,MATCH(A25,ForageProductionModel!$AZ$5:$AZ$1005,0),1))</f>
        <v/>
      </c>
      <c r="M25" s="2051"/>
    </row>
    <row r="26" spans="1:19" ht="15" hidden="1">
      <c r="A26" s="1437"/>
      <c r="B26" s="2039" t="str">
        <f>IF(A26=0,"",VLOOKUP(A26,ForageProductionModel!AZ7:BO1007,16))</f>
        <v/>
      </c>
      <c r="C26" s="2039"/>
      <c r="D26" s="2039"/>
      <c r="E26" s="2039"/>
      <c r="F26" s="2039"/>
      <c r="G26" s="2039"/>
      <c r="H26" s="2039"/>
      <c r="I26" s="2039"/>
      <c r="J26" s="2039"/>
      <c r="K26" s="2039"/>
      <c r="L26" s="2051" t="str">
        <f>IF(A26=0,"",INDEX(ForageProductionModel!$BA$5:$BA$1005,MATCH(A26,ForageProductionModel!$AZ$5:$AZ$1005,0),1))</f>
        <v/>
      </c>
      <c r="M26" s="2051"/>
    </row>
    <row r="27" spans="1:19">
      <c r="A27" s="1436"/>
      <c r="B27" s="1436"/>
      <c r="C27" s="1436"/>
      <c r="D27" s="1436"/>
      <c r="E27" s="1436"/>
      <c r="F27" s="1436"/>
      <c r="G27" s="1436"/>
      <c r="H27" s="1436"/>
      <c r="I27" s="1436"/>
      <c r="J27" s="1436"/>
      <c r="K27" s="1436"/>
      <c r="L27" s="1436"/>
      <c r="M27" s="1436"/>
      <c r="N27" s="1436"/>
    </row>
    <row r="28" spans="1:19" ht="14">
      <c r="A28" s="2052" t="s">
        <v>2822</v>
      </c>
      <c r="B28" s="2052"/>
      <c r="C28" s="2052"/>
      <c r="D28" s="2052"/>
      <c r="E28" s="2052"/>
      <c r="F28" s="2052"/>
      <c r="G28" s="2052"/>
      <c r="H28" s="2052"/>
      <c r="I28" s="2052"/>
      <c r="J28" s="2052"/>
      <c r="K28" s="2052"/>
      <c r="L28" s="2052"/>
      <c r="M28" s="2052"/>
      <c r="N28" s="2052"/>
      <c r="R28" s="37" t="s">
        <v>2821</v>
      </c>
    </row>
    <row r="29" spans="1:19" ht="18" customHeight="1">
      <c r="A29" s="54" t="s">
        <v>2820</v>
      </c>
      <c r="B29" s="1435"/>
      <c r="C29" s="1435"/>
      <c r="D29" s="1435"/>
      <c r="E29" s="1435"/>
      <c r="F29" s="1435"/>
      <c r="H29" s="1435"/>
      <c r="J29" s="54"/>
      <c r="K29" s="54"/>
      <c r="L29" s="54"/>
      <c r="M29" s="54" t="s">
        <v>2812</v>
      </c>
      <c r="N29" s="54"/>
      <c r="Q29" s="36" t="s">
        <v>2819</v>
      </c>
      <c r="R29" s="36" t="s">
        <v>2818</v>
      </c>
      <c r="S29" s="37" t="s">
        <v>2817</v>
      </c>
    </row>
    <row r="30" spans="1:19" ht="50.25" customHeight="1">
      <c r="A30" s="1976"/>
      <c r="B30" s="1976"/>
      <c r="C30" s="1976"/>
      <c r="D30" s="1976"/>
      <c r="E30" s="1976"/>
      <c r="F30" s="1976"/>
      <c r="G30" s="1976"/>
      <c r="H30" s="1976"/>
      <c r="I30" s="1976"/>
      <c r="J30" s="1976"/>
      <c r="K30" s="1976"/>
      <c r="L30" s="1976"/>
      <c r="M30" s="2005"/>
      <c r="N30" s="2005"/>
      <c r="Q30" s="1407" t="str">
        <f>IF(M30=0,"",_xlfn.XLOOKUP(M30,ForageGrowthCurves!$T$7:$T$27,ForageGrowthCurves!$U$7:$U$27))</f>
        <v/>
      </c>
      <c r="R30" s="1667" t="str">
        <f>IF(M30=0,"",_xlfn.XLOOKUP(M30,ForageGrowthCurves!$T$7:$T$27,ForageGrowthCurves!$W$7:$W$27))</f>
        <v/>
      </c>
      <c r="S30" s="1407" t="str">
        <f>IF(M30=0,"",_xlfn.XLOOKUP(M30,ForageGrowthCurves!$T$7:$T$27,ForageGrowthCurves!$X$7:$X$27))</f>
        <v/>
      </c>
    </row>
    <row r="31" spans="1:19">
      <c r="A31" s="1982" t="s">
        <v>2816</v>
      </c>
      <c r="B31" s="1982"/>
      <c r="C31" s="1982"/>
      <c r="D31" s="1982"/>
      <c r="E31" s="1982"/>
      <c r="F31" s="1982"/>
      <c r="G31" s="1982"/>
      <c r="H31" s="1982"/>
      <c r="I31" s="1982"/>
      <c r="J31" s="1982"/>
      <c r="K31" s="1982"/>
      <c r="L31" s="1982"/>
      <c r="M31" s="1982"/>
      <c r="N31" s="1982"/>
      <c r="Q31" s="1407"/>
      <c r="R31" s="1407"/>
      <c r="S31" s="1407"/>
    </row>
    <row r="32" spans="1:19" ht="16.5" customHeight="1">
      <c r="A32" s="1434" t="s">
        <v>276</v>
      </c>
      <c r="B32" s="1434" t="s">
        <v>277</v>
      </c>
      <c r="C32" s="1434" t="s">
        <v>88</v>
      </c>
      <c r="D32" s="1434" t="s">
        <v>89</v>
      </c>
      <c r="E32" s="1434" t="s">
        <v>39</v>
      </c>
      <c r="F32" s="1434" t="s">
        <v>90</v>
      </c>
      <c r="G32" s="1434" t="s">
        <v>91</v>
      </c>
      <c r="H32" s="1434" t="s">
        <v>92</v>
      </c>
      <c r="I32" s="1434" t="s">
        <v>93</v>
      </c>
      <c r="J32" s="1434" t="s">
        <v>94</v>
      </c>
      <c r="K32" s="1434" t="s">
        <v>95</v>
      </c>
      <c r="L32" s="1434" t="s">
        <v>96</v>
      </c>
      <c r="M32" s="1987" t="s">
        <v>76</v>
      </c>
      <c r="N32" s="1987"/>
      <c r="Q32" s="1407"/>
      <c r="R32" s="1407"/>
      <c r="S32" s="1407"/>
    </row>
    <row r="33" spans="1:14" ht="16.5" customHeight="1">
      <c r="A33" s="1433" t="str">
        <f>IF('Step 2. Production Estimate'!F85=0,"",'Step 2. Production Estimate'!F111)</f>
        <v/>
      </c>
      <c r="B33" s="1433" t="str">
        <f>IF('Step 2. Production Estimate'!G85=0,"",'Step 2. Production Estimate'!G111)</f>
        <v/>
      </c>
      <c r="C33" s="1433" t="str">
        <f>IF('Step 2. Production Estimate'!H85=0,"",'Step 2. Production Estimate'!H111)</f>
        <v/>
      </c>
      <c r="D33" s="1433" t="str">
        <f>IF('Step 2. Production Estimate'!I85=0,"",'Step 2. Production Estimate'!I111)</f>
        <v/>
      </c>
      <c r="E33" s="1433" t="str">
        <f>IF('Step 2. Production Estimate'!J85=0,"",'Step 2. Production Estimate'!J111)</f>
        <v/>
      </c>
      <c r="F33" s="1433" t="str">
        <f>IF('Step 2. Production Estimate'!K85=0,"",'Step 2. Production Estimate'!K111)</f>
        <v/>
      </c>
      <c r="G33" s="1433" t="str">
        <f>IF('Step 2. Production Estimate'!L85=0,"",'Step 2. Production Estimate'!L111)</f>
        <v/>
      </c>
      <c r="H33" s="1433" t="str">
        <f>IF('Step 2. Production Estimate'!M85=0,"",'Step 2. Production Estimate'!M111)</f>
        <v/>
      </c>
      <c r="I33" s="1433" t="str">
        <f>IF('Step 2. Production Estimate'!N85=0,"",'Step 2. Production Estimate'!N111)</f>
        <v/>
      </c>
      <c r="J33" s="1433" t="str">
        <f>IF('Step 2. Production Estimate'!O85=0,"",'Step 2. Production Estimate'!O111)</f>
        <v/>
      </c>
      <c r="K33" s="1433" t="str">
        <f>IF('Step 2. Production Estimate'!P85=0,"",'Step 2. Production Estimate'!P111)</f>
        <v/>
      </c>
      <c r="L33" s="1433" t="str">
        <f>IF('Step 2. Production Estimate'!Q85=0,"",'Step 2. Production Estimate'!Q111)</f>
        <v/>
      </c>
      <c r="M33" s="1983" t="str">
        <f>IF('Step 2. Production Estimate'!R85=0,"",'Step 2. Production Estimate'!R111)</f>
        <v/>
      </c>
      <c r="N33" s="1984"/>
    </row>
    <row r="34" spans="1:14" ht="29.25" hidden="1" customHeight="1">
      <c r="A34" s="1432" t="str">
        <f>IF(A26=0,"",INDEX(ForageProductionModel!$BA$5:$BA$1005,MATCH(A26,ForageProductionModel!$AZ$5:$AZ$1005,0),1))</f>
        <v/>
      </c>
      <c r="B34" s="1989" t="str" cm="1">
        <f t="array" ref="B34">_xlfn.IFS(A26=0," ",OR($L$12="Hilo",$L$12="Waimea",$L$12="Kealakekua"),VLOOKUP(A34,ForageProductionModel!U265:V281,2,FALSE),OR($L$12="Kahului",$L$12="Hoolehua",$L$12="Oahu",$L$12="Lihue"),VLOOKUP(A34,ForageProductionModel!U284:V297,2,FALSE),OR($L$12="Guam",$L$12="Saipan"),"PG not available yet")</f>
        <v xml:space="preserve"> </v>
      </c>
      <c r="C34" s="1989"/>
      <c r="D34" s="1989"/>
      <c r="E34" s="1989"/>
      <c r="F34" s="1989"/>
      <c r="G34" s="1996"/>
      <c r="H34" s="1996"/>
      <c r="I34" s="1996"/>
      <c r="J34" s="1996"/>
      <c r="K34" s="1996"/>
      <c r="L34" s="1996"/>
      <c r="M34" s="1988"/>
      <c r="N34" s="1988"/>
    </row>
    <row r="35" spans="1:14" ht="14" hidden="1">
      <c r="A35" s="1431" t="s">
        <v>2815</v>
      </c>
      <c r="B35" s="62"/>
      <c r="C35" s="62"/>
      <c r="D35" s="1430"/>
      <c r="E35" s="1430"/>
      <c r="F35" s="1430"/>
      <c r="G35" s="1430"/>
      <c r="H35" s="1430"/>
      <c r="I35" s="1430"/>
      <c r="J35" s="1430"/>
      <c r="K35" s="1430"/>
      <c r="L35" s="1430"/>
      <c r="M35" s="1430"/>
      <c r="N35" s="1430"/>
    </row>
    <row r="36" spans="1:14" ht="66" hidden="1" customHeight="1">
      <c r="A36" s="1059" t="s">
        <v>304</v>
      </c>
      <c r="B36" s="1059" t="s">
        <v>2814</v>
      </c>
      <c r="C36" s="1985" t="s">
        <v>2813</v>
      </c>
      <c r="D36" s="2037"/>
      <c r="E36" s="2058" t="s">
        <v>2812</v>
      </c>
      <c r="F36" s="2059"/>
      <c r="G36" s="1429" t="s">
        <v>2811</v>
      </c>
      <c r="H36" s="1429" t="s">
        <v>2810</v>
      </c>
      <c r="I36" s="1429" t="s">
        <v>2809</v>
      </c>
      <c r="J36" s="1429" t="s">
        <v>2808</v>
      </c>
      <c r="K36" s="1429" t="s">
        <v>2807</v>
      </c>
      <c r="L36" s="1429" t="s">
        <v>2806</v>
      </c>
      <c r="M36" s="1428" t="s">
        <v>2805</v>
      </c>
      <c r="N36" s="1427"/>
    </row>
    <row r="37" spans="1:14" hidden="1">
      <c r="A37" s="1408" t="s">
        <v>3143</v>
      </c>
      <c r="B37" s="1408" t="s">
        <v>3143</v>
      </c>
      <c r="C37" s="1985" t="s">
        <v>3143</v>
      </c>
      <c r="D37" s="1986"/>
      <c r="E37" s="1985" t="e">
        <v>#REF!</v>
      </c>
      <c r="F37" s="1986"/>
      <c r="G37" s="1426" t="s">
        <v>2804</v>
      </c>
      <c r="H37" s="1426"/>
      <c r="I37" s="1426" t="s">
        <v>2804</v>
      </c>
      <c r="J37" s="1426"/>
      <c r="K37" s="1426"/>
      <c r="L37" s="1426"/>
      <c r="M37" s="1426"/>
      <c r="N37" s="1426"/>
    </row>
    <row r="38" spans="1:14" hidden="1">
      <c r="A38" s="1408" t="s">
        <v>3143</v>
      </c>
      <c r="B38" s="1408" t="s">
        <v>3143</v>
      </c>
      <c r="C38" s="1985" t="s">
        <v>3143</v>
      </c>
      <c r="D38" s="1986"/>
      <c r="E38" s="1985" t="e">
        <v>#REF!</v>
      </c>
      <c r="F38" s="1986"/>
      <c r="G38" s="1426"/>
      <c r="H38" s="1426"/>
      <c r="I38" s="1426" t="s">
        <v>2804</v>
      </c>
      <c r="J38" s="1426"/>
      <c r="K38" s="1426"/>
      <c r="L38" s="1426"/>
      <c r="M38" s="1426"/>
      <c r="N38" s="1426"/>
    </row>
    <row r="39" spans="1:14" hidden="1">
      <c r="A39" s="1408" t="s">
        <v>3143</v>
      </c>
      <c r="B39" s="1408" t="s">
        <v>3143</v>
      </c>
      <c r="C39" s="1985" t="s">
        <v>3143</v>
      </c>
      <c r="D39" s="1986"/>
      <c r="E39" s="1985" t="e">
        <v>#REF!</v>
      </c>
      <c r="F39" s="1986"/>
      <c r="G39" s="1426"/>
      <c r="H39" s="1426" t="s">
        <v>2804</v>
      </c>
      <c r="I39" s="1426" t="s">
        <v>2804</v>
      </c>
      <c r="J39" s="1426"/>
      <c r="K39" s="1426"/>
      <c r="L39" s="1426"/>
      <c r="M39" s="1426"/>
      <c r="N39" s="1426"/>
    </row>
    <row r="40" spans="1:14" hidden="1">
      <c r="A40" s="1408" t="s">
        <v>3143</v>
      </c>
      <c r="B40" s="1408" t="s">
        <v>3143</v>
      </c>
      <c r="C40" s="1985" t="s">
        <v>3143</v>
      </c>
      <c r="D40" s="1986"/>
      <c r="E40" s="1985" t="e">
        <v>#REF!</v>
      </c>
      <c r="F40" s="1986"/>
      <c r="G40" s="1426"/>
      <c r="H40" s="1426"/>
      <c r="I40" s="1426" t="s">
        <v>2804</v>
      </c>
      <c r="J40" s="1426"/>
      <c r="K40" s="1426"/>
      <c r="L40" s="1426"/>
      <c r="M40" s="1426"/>
      <c r="N40" s="1426"/>
    </row>
    <row r="41" spans="1:14" hidden="1">
      <c r="A41" s="1408" t="s">
        <v>3143</v>
      </c>
      <c r="B41" s="1408" t="s">
        <v>3143</v>
      </c>
      <c r="C41" s="1985" t="s">
        <v>3143</v>
      </c>
      <c r="D41" s="1986"/>
      <c r="E41" s="1985" t="e">
        <v>#REF!</v>
      </c>
      <c r="F41" s="1986"/>
      <c r="G41" s="1426"/>
      <c r="H41" s="1426" t="s">
        <v>2804</v>
      </c>
      <c r="I41" s="1426" t="s">
        <v>2804</v>
      </c>
      <c r="J41" s="1426"/>
      <c r="K41" s="1426"/>
      <c r="L41" s="1426"/>
      <c r="M41" s="1426"/>
      <c r="N41" s="1426"/>
    </row>
    <row r="42" spans="1:14" hidden="1">
      <c r="A42" s="1408" t="s">
        <v>3143</v>
      </c>
      <c r="B42" s="1408" t="s">
        <v>3143</v>
      </c>
      <c r="C42" s="1985" t="s">
        <v>3143</v>
      </c>
      <c r="D42" s="1986"/>
      <c r="E42" s="1985" t="e">
        <v>#REF!</v>
      </c>
      <c r="F42" s="1986"/>
      <c r="G42" s="1426"/>
      <c r="H42" s="1426"/>
      <c r="I42" s="1426" t="s">
        <v>2804</v>
      </c>
      <c r="J42" s="1426"/>
      <c r="K42" s="1426"/>
      <c r="L42" s="1426"/>
      <c r="M42" s="1426"/>
      <c r="N42" s="1426"/>
    </row>
    <row r="43" spans="1:14" ht="12.75" hidden="1" customHeight="1">
      <c r="A43" s="1408" t="s">
        <v>3143</v>
      </c>
      <c r="B43" s="1408" t="s">
        <v>3143</v>
      </c>
      <c r="C43" s="1985" t="s">
        <v>3143</v>
      </c>
      <c r="D43" s="1986"/>
      <c r="E43" s="1985" t="e">
        <v>#REF!</v>
      </c>
      <c r="F43" s="1986"/>
      <c r="G43" s="1426"/>
      <c r="H43" s="1426"/>
      <c r="I43" s="1426"/>
      <c r="J43" s="1426"/>
      <c r="K43" s="1426"/>
      <c r="L43" s="1426"/>
      <c r="M43" s="1426"/>
      <c r="N43" s="1426"/>
    </row>
    <row r="44" spans="1:14" hidden="1">
      <c r="A44" s="1408" t="s">
        <v>3143</v>
      </c>
      <c r="B44" s="1408" t="s">
        <v>3143</v>
      </c>
      <c r="C44" s="1985" t="s">
        <v>3143</v>
      </c>
      <c r="D44" s="1986"/>
      <c r="E44" s="1985" t="e">
        <v>#REF!</v>
      </c>
      <c r="F44" s="1986"/>
      <c r="G44" s="1426"/>
      <c r="H44" s="1426"/>
      <c r="I44" s="1426"/>
      <c r="J44" s="1426"/>
      <c r="K44" s="1426"/>
      <c r="L44" s="1426"/>
      <c r="M44" s="1426"/>
      <c r="N44" s="1426"/>
    </row>
    <row r="45" spans="1:14" ht="12.75" hidden="1" customHeight="1">
      <c r="A45" s="1408" t="s">
        <v>3143</v>
      </c>
      <c r="B45" s="1408" t="s">
        <v>3143</v>
      </c>
      <c r="C45" s="1985" t="s">
        <v>3143</v>
      </c>
      <c r="D45" s="1986"/>
      <c r="E45" s="1985" t="e">
        <v>#REF!</v>
      </c>
      <c r="F45" s="1986"/>
      <c r="G45" s="1426"/>
      <c r="H45" s="1426"/>
      <c r="I45" s="1426"/>
      <c r="J45" s="1426"/>
      <c r="K45" s="1426"/>
      <c r="L45" s="1426"/>
      <c r="M45" s="1426"/>
      <c r="N45" s="1426"/>
    </row>
    <row r="46" spans="1:14" hidden="1">
      <c r="A46" s="1408" t="s">
        <v>3143</v>
      </c>
      <c r="B46" s="1408" t="s">
        <v>3143</v>
      </c>
      <c r="C46" s="1985" t="s">
        <v>3143</v>
      </c>
      <c r="D46" s="1986"/>
      <c r="E46" s="1985" t="e">
        <v>#REF!</v>
      </c>
      <c r="F46" s="1986"/>
      <c r="G46" s="1426"/>
      <c r="H46" s="1426"/>
      <c r="I46" s="1426"/>
      <c r="J46" s="1426"/>
      <c r="K46" s="1426"/>
      <c r="L46" s="1426"/>
      <c r="M46" s="1426"/>
      <c r="N46" s="1426"/>
    </row>
    <row r="47" spans="1:14" hidden="1">
      <c r="A47" s="1408" t="s">
        <v>3143</v>
      </c>
      <c r="B47" s="1408" t="s">
        <v>3143</v>
      </c>
      <c r="C47" s="1985" t="s">
        <v>3143</v>
      </c>
      <c r="D47" s="1986"/>
      <c r="E47" s="1985" t="e">
        <v>#REF!</v>
      </c>
      <c r="F47" s="1986"/>
      <c r="G47" s="1426"/>
      <c r="H47" s="1426"/>
      <c r="I47" s="1426"/>
      <c r="J47" s="1426"/>
      <c r="K47" s="1426"/>
      <c r="L47" s="1426"/>
      <c r="M47" s="1426"/>
      <c r="N47" s="1426"/>
    </row>
    <row r="48" spans="1:14" hidden="1">
      <c r="A48" s="1408" t="s">
        <v>3143</v>
      </c>
      <c r="B48" s="1408" t="s">
        <v>3143</v>
      </c>
      <c r="C48" s="1985" t="s">
        <v>3143</v>
      </c>
      <c r="D48" s="1986"/>
      <c r="E48" s="1985" t="e">
        <v>#REF!</v>
      </c>
      <c r="F48" s="1986"/>
      <c r="G48" s="1426"/>
      <c r="H48" s="1426"/>
      <c r="I48" s="1426"/>
      <c r="J48" s="1426"/>
      <c r="K48" s="1426"/>
      <c r="L48" s="1426"/>
      <c r="M48" s="1426"/>
      <c r="N48" s="1426"/>
    </row>
    <row r="49" spans="1:14" hidden="1">
      <c r="A49" s="1408" t="s">
        <v>3143</v>
      </c>
      <c r="B49" s="1408" t="s">
        <v>3143</v>
      </c>
      <c r="C49" s="1985" t="s">
        <v>3143</v>
      </c>
      <c r="D49" s="1986"/>
      <c r="E49" s="1985" t="e">
        <v>#REF!</v>
      </c>
      <c r="F49" s="1986"/>
      <c r="G49" s="1426"/>
      <c r="H49" s="1426"/>
      <c r="I49" s="1426"/>
      <c r="J49" s="1426"/>
      <c r="K49" s="1426"/>
      <c r="L49" s="1426"/>
      <c r="M49" s="1426"/>
      <c r="N49" s="1426"/>
    </row>
    <row r="50" spans="1:14" hidden="1">
      <c r="A50" s="1408" t="s">
        <v>3143</v>
      </c>
      <c r="B50" s="1408" t="s">
        <v>3143</v>
      </c>
      <c r="C50" s="1985" t="s">
        <v>3143</v>
      </c>
      <c r="D50" s="1986"/>
      <c r="E50" s="1985" t="e">
        <v>#REF!</v>
      </c>
      <c r="F50" s="1986"/>
      <c r="G50" s="1426"/>
      <c r="H50" s="1426"/>
      <c r="I50" s="1426"/>
      <c r="J50" s="1426"/>
      <c r="K50" s="1426"/>
      <c r="L50" s="1426"/>
      <c r="M50" s="1426"/>
      <c r="N50" s="1426"/>
    </row>
    <row r="51" spans="1:14" hidden="1">
      <c r="A51" s="1408" t="s">
        <v>3143</v>
      </c>
      <c r="B51" s="1408" t="s">
        <v>3143</v>
      </c>
      <c r="C51" s="1985" t="s">
        <v>3143</v>
      </c>
      <c r="D51" s="1986"/>
      <c r="E51" s="1985" t="e">
        <v>#REF!</v>
      </c>
      <c r="F51" s="1986"/>
      <c r="G51" s="1426"/>
      <c r="H51" s="1426"/>
      <c r="I51" s="1426"/>
      <c r="J51" s="1426"/>
      <c r="K51" s="1426"/>
      <c r="L51" s="1426"/>
      <c r="M51" s="1426"/>
      <c r="N51" s="1426"/>
    </row>
    <row r="52" spans="1:14" hidden="1">
      <c r="A52" s="1408" t="s">
        <v>3143</v>
      </c>
      <c r="B52" s="1408" t="s">
        <v>3143</v>
      </c>
      <c r="C52" s="1985" t="s">
        <v>3143</v>
      </c>
      <c r="D52" s="1986"/>
      <c r="E52" s="1985" t="e">
        <v>#REF!</v>
      </c>
      <c r="F52" s="1986"/>
      <c r="G52" s="1426"/>
      <c r="H52" s="1426"/>
      <c r="I52" s="1426"/>
      <c r="J52" s="1426"/>
      <c r="K52" s="1426"/>
      <c r="L52" s="1426"/>
      <c r="M52" s="1426"/>
      <c r="N52" s="1426"/>
    </row>
    <row r="53" spans="1:14" hidden="1">
      <c r="A53" s="1408" t="s">
        <v>3143</v>
      </c>
      <c r="B53" s="1408" t="s">
        <v>3143</v>
      </c>
      <c r="C53" s="1985" t="s">
        <v>3143</v>
      </c>
      <c r="D53" s="1986"/>
      <c r="E53" s="1985" t="e">
        <v>#REF!</v>
      </c>
      <c r="F53" s="1986"/>
      <c r="G53" s="1426"/>
      <c r="H53" s="1426"/>
      <c r="I53" s="1426"/>
      <c r="J53" s="1426"/>
      <c r="K53" s="1426"/>
      <c r="L53" s="1426"/>
      <c r="M53" s="1426"/>
      <c r="N53" s="1426"/>
    </row>
    <row r="54" spans="1:14" hidden="1">
      <c r="A54" s="1408" t="s">
        <v>3143</v>
      </c>
      <c r="B54" s="1408" t="s">
        <v>3143</v>
      </c>
      <c r="C54" s="1985" t="s">
        <v>3143</v>
      </c>
      <c r="D54" s="1986"/>
      <c r="E54" s="1985" t="e">
        <v>#REF!</v>
      </c>
      <c r="F54" s="1986"/>
      <c r="G54" s="1426"/>
      <c r="H54" s="1426"/>
      <c r="I54" s="1426"/>
      <c r="J54" s="1426"/>
      <c r="K54" s="1426"/>
      <c r="L54" s="1426"/>
      <c r="M54" s="1426"/>
      <c r="N54" s="1426"/>
    </row>
    <row r="55" spans="1:14" hidden="1">
      <c r="A55" s="1408" t="s">
        <v>3143</v>
      </c>
      <c r="B55" s="1408" t="s">
        <v>3143</v>
      </c>
      <c r="C55" s="1985" t="s">
        <v>3143</v>
      </c>
      <c r="D55" s="1986"/>
      <c r="E55" s="1985" t="e">
        <v>#REF!</v>
      </c>
      <c r="F55" s="1986"/>
      <c r="G55" s="1426"/>
      <c r="H55" s="1426"/>
      <c r="I55" s="1426"/>
      <c r="J55" s="1426"/>
      <c r="K55" s="1426"/>
      <c r="L55" s="1426"/>
      <c r="M55" s="1426"/>
      <c r="N55" s="1426"/>
    </row>
    <row r="56" spans="1:14" hidden="1">
      <c r="A56" s="1408" t="s">
        <v>3143</v>
      </c>
      <c r="B56" s="1408" t="s">
        <v>3143</v>
      </c>
      <c r="C56" s="1985" t="s">
        <v>3143</v>
      </c>
      <c r="D56" s="1986"/>
      <c r="E56" s="1985" t="e">
        <v>#REF!</v>
      </c>
      <c r="F56" s="1986"/>
      <c r="G56" s="1426"/>
      <c r="H56" s="1426"/>
      <c r="I56" s="1426"/>
      <c r="J56" s="1426"/>
      <c r="K56" s="1426"/>
      <c r="L56" s="1426"/>
      <c r="M56" s="1426"/>
      <c r="N56" s="1426"/>
    </row>
    <row r="57" spans="1:14" hidden="1">
      <c r="A57" s="1408" t="s">
        <v>3143</v>
      </c>
      <c r="B57" s="1408" t="s">
        <v>3143</v>
      </c>
      <c r="C57" s="1985" t="s">
        <v>3143</v>
      </c>
      <c r="D57" s="1986"/>
      <c r="E57" s="1985" t="e">
        <v>#REF!</v>
      </c>
      <c r="F57" s="1986"/>
      <c r="G57" s="1426"/>
      <c r="H57" s="1426"/>
      <c r="I57" s="1426"/>
      <c r="J57" s="1426"/>
      <c r="K57" s="1426"/>
      <c r="L57" s="1426"/>
      <c r="M57" s="1426"/>
      <c r="N57" s="1426"/>
    </row>
    <row r="58" spans="1:14" hidden="1">
      <c r="A58" s="1408" t="s">
        <v>3143</v>
      </c>
      <c r="B58" s="1408" t="s">
        <v>3143</v>
      </c>
      <c r="C58" s="1985" t="s">
        <v>3143</v>
      </c>
      <c r="D58" s="1986"/>
      <c r="E58" s="1985" t="e">
        <v>#REF!</v>
      </c>
      <c r="F58" s="1986"/>
      <c r="G58" s="1426"/>
      <c r="H58" s="1426"/>
      <c r="I58" s="1426"/>
      <c r="J58" s="1426"/>
      <c r="K58" s="1426"/>
      <c r="L58" s="1426"/>
      <c r="M58" s="1426"/>
      <c r="N58" s="1426"/>
    </row>
    <row r="59" spans="1:14" hidden="1">
      <c r="A59" s="1408" t="s">
        <v>3143</v>
      </c>
      <c r="B59" s="1408" t="s">
        <v>3143</v>
      </c>
      <c r="C59" s="1985" t="s">
        <v>3143</v>
      </c>
      <c r="D59" s="1986"/>
      <c r="E59" s="1985" t="e">
        <v>#REF!</v>
      </c>
      <c r="F59" s="1986"/>
      <c r="G59" s="1426"/>
      <c r="H59" s="1426"/>
      <c r="I59" s="1426"/>
      <c r="J59" s="1426"/>
      <c r="K59" s="1426"/>
      <c r="L59" s="1426"/>
      <c r="M59" s="1426"/>
      <c r="N59" s="1426"/>
    </row>
    <row r="60" spans="1:14" hidden="1">
      <c r="A60" s="1408" t="s">
        <v>3143</v>
      </c>
      <c r="B60" s="1408" t="s">
        <v>3143</v>
      </c>
      <c r="C60" s="1985" t="s">
        <v>3143</v>
      </c>
      <c r="D60" s="1986"/>
      <c r="E60" s="1985" t="e">
        <v>#REF!</v>
      </c>
      <c r="F60" s="1986"/>
      <c r="G60" s="1426"/>
      <c r="H60" s="1426"/>
      <c r="I60" s="1426"/>
      <c r="J60" s="1426"/>
      <c r="K60" s="1426"/>
      <c r="L60" s="1426"/>
      <c r="M60" s="1426"/>
      <c r="N60" s="1426"/>
    </row>
    <row r="61" spans="1:14">
      <c r="C61" s="42"/>
      <c r="D61" s="42"/>
      <c r="E61" s="42"/>
      <c r="F61" s="42"/>
      <c r="G61" s="42"/>
      <c r="H61" s="42"/>
      <c r="I61" s="42"/>
      <c r="J61" s="42"/>
      <c r="K61" s="42"/>
      <c r="L61" s="42"/>
      <c r="M61" s="42"/>
      <c r="N61" s="42"/>
    </row>
    <row r="62" spans="1:14" ht="14">
      <c r="A62" s="2052" t="s">
        <v>2803</v>
      </c>
      <c r="B62" s="2052"/>
      <c r="C62" s="2052"/>
      <c r="D62" s="2052"/>
      <c r="E62" s="2052"/>
      <c r="F62" s="2052"/>
      <c r="G62" s="2052"/>
      <c r="H62" s="2052"/>
      <c r="I62" s="2052"/>
      <c r="J62" s="2052"/>
      <c r="K62" s="2052"/>
      <c r="L62" s="2052"/>
      <c r="M62" s="2052"/>
      <c r="N62" s="2052"/>
    </row>
    <row r="63" spans="1:14" ht="14.25" customHeight="1">
      <c r="A63" s="1977" t="s">
        <v>2802</v>
      </c>
      <c r="B63" s="1977"/>
      <c r="C63" s="1977"/>
      <c r="D63" s="1977"/>
      <c r="E63" s="1977"/>
      <c r="F63" s="1977"/>
      <c r="G63" s="1977"/>
      <c r="H63" s="1978"/>
      <c r="I63" s="1997" t="s">
        <v>2800</v>
      </c>
      <c r="J63" s="1998"/>
      <c r="K63" s="1998"/>
      <c r="L63" s="1998"/>
      <c r="M63" s="1998"/>
      <c r="N63" s="1999"/>
    </row>
    <row r="64" spans="1:14">
      <c r="A64" s="1977"/>
      <c r="B64" s="1977"/>
      <c r="C64" s="1977"/>
      <c r="D64" s="1977"/>
      <c r="E64" s="1977"/>
      <c r="F64" s="1977"/>
      <c r="G64" s="1977"/>
      <c r="H64" s="1978"/>
      <c r="I64" s="2055" t="s">
        <v>2793</v>
      </c>
      <c r="J64" s="2056"/>
      <c r="K64" s="2056"/>
      <c r="L64" s="2056"/>
      <c r="M64" s="2056"/>
      <c r="N64" s="2057"/>
    </row>
    <row r="65" spans="1:14">
      <c r="A65" s="2000" t="s">
        <v>220</v>
      </c>
      <c r="B65" s="2001"/>
      <c r="C65" s="2001"/>
      <c r="D65" s="2002"/>
      <c r="E65" s="1425" t="s">
        <v>36</v>
      </c>
      <c r="F65" s="1425" t="s">
        <v>2799</v>
      </c>
      <c r="G65" s="1987" t="s">
        <v>2798</v>
      </c>
      <c r="H65" s="1987"/>
      <c r="I65" s="2044" t="s">
        <v>2797</v>
      </c>
      <c r="J65" s="2044"/>
      <c r="K65" s="2044" t="s">
        <v>2796</v>
      </c>
      <c r="L65" s="2044"/>
      <c r="M65" s="2044" t="s">
        <v>2795</v>
      </c>
      <c r="N65" s="2044"/>
    </row>
    <row r="66" spans="1:14">
      <c r="A66" s="1979"/>
      <c r="B66" s="1979"/>
      <c r="C66" s="1979"/>
      <c r="D66" s="1979"/>
      <c r="E66" s="1423"/>
      <c r="F66" s="1423"/>
      <c r="G66" s="1980" t="str">
        <f>IF(A66=0,"",_xlfn.XLOOKUP(A66,'Step 3. FA Balance'!$AW$4:$AW$11,'Step 3. FA Balance'!$AX$4:$AX$11))</f>
        <v/>
      </c>
      <c r="H66" s="1980"/>
      <c r="I66" s="1981" t="str" cm="1">
        <f t="array" ref="I66">_xlfn.IFS(E66=0,"",$I$64=$Q$84,E66*F66*G66,$I$64=$Q$85,(E66*F66*G66)/30,$I$64=$Q$86,(E66*F66*G66)/900,$I$64=$Q$87,(E66*F66*G66)/10800)</f>
        <v/>
      </c>
      <c r="J66" s="1981"/>
      <c r="K66" s="1981" t="str">
        <f>IF(E66=0,"",I66*30)</f>
        <v/>
      </c>
      <c r="L66" s="1981"/>
      <c r="M66" s="1981" t="str">
        <f>IF(E66=0,"",I66*365)</f>
        <v/>
      </c>
      <c r="N66" s="1981"/>
    </row>
    <row r="67" spans="1:14">
      <c r="A67" s="1979"/>
      <c r="B67" s="1979"/>
      <c r="C67" s="1979"/>
      <c r="D67" s="1979"/>
      <c r="E67" s="1423"/>
      <c r="F67" s="1423"/>
      <c r="G67" s="1980" t="str">
        <f>IF(A67=0,"",_xlfn.XLOOKUP(A67,'Step 3. FA Balance'!$AW$4:$AW$11,'Step 3. FA Balance'!$AX$4:$AX$11))</f>
        <v/>
      </c>
      <c r="H67" s="1980"/>
      <c r="I67" s="1981" t="str" cm="1">
        <f t="array" ref="I67">_xlfn.IFS(E67=0,"",$I$64=$Q$84,E67*F67*G67,$I$64=$Q$85,(E67*F67*G67)/30,$I$64=$Q$86,(E67*F67*G67)/900,$I$64=$Q$87,(E67*F67*G67)/10800)</f>
        <v/>
      </c>
      <c r="J67" s="1981"/>
      <c r="K67" s="1981" t="str">
        <f>IF(E67=0,"",I67*30)</f>
        <v/>
      </c>
      <c r="L67" s="1981"/>
      <c r="M67" s="1981" t="str">
        <f>IF(E67=0,"",I67*365)</f>
        <v/>
      </c>
      <c r="N67" s="1981"/>
    </row>
    <row r="68" spans="1:14">
      <c r="A68" s="1979"/>
      <c r="B68" s="1979"/>
      <c r="C68" s="1979"/>
      <c r="D68" s="1979"/>
      <c r="E68" s="1423"/>
      <c r="F68" s="1423"/>
      <c r="G68" s="1980" t="str">
        <f>IF(A68=0,"",_xlfn.XLOOKUP(A68,'Step 3. FA Balance'!$AW$4:$AW$11,'Step 3. FA Balance'!$AX$4:$AX$11))</f>
        <v/>
      </c>
      <c r="H68" s="1980"/>
      <c r="I68" s="1981" t="str" cm="1">
        <f t="array" ref="I68">_xlfn.IFS(E68=0,"",$I$64=$Q$84,E68*F68*G68,$I$64=$Q$85,(E68*F68*G68)/30,$I$64=$Q$86,(E68*F68*G68)/900,$I$64=$Q$87,(E68*F68*G68)/10800)</f>
        <v/>
      </c>
      <c r="J68" s="1981"/>
      <c r="K68" s="1981" t="str">
        <f>IF(E68=0,"",I68*30)</f>
        <v/>
      </c>
      <c r="L68" s="1981"/>
      <c r="M68" s="1981" t="str">
        <f>IF(E68=0,"",I68*365)</f>
        <v/>
      </c>
      <c r="N68" s="1981"/>
    </row>
    <row r="69" spans="1:14">
      <c r="A69" s="1979"/>
      <c r="B69" s="1979"/>
      <c r="C69" s="1979"/>
      <c r="D69" s="1979"/>
      <c r="E69" s="1423"/>
      <c r="F69" s="1423"/>
      <c r="G69" s="1980" t="str">
        <f>IF(A69=0,"",_xlfn.XLOOKUP(A69,'Step 3. FA Balance'!$AW$4:$AW$11,'Step 3. FA Balance'!$AX$4:$AX$11))</f>
        <v/>
      </c>
      <c r="H69" s="1980"/>
      <c r="I69" s="1981" t="str" cm="1">
        <f t="array" ref="I69">_xlfn.IFS(E69=0,"",$I$64=$Q$84,E69*F69*G69,$I$64=$Q$85,(E69*F69*G69)/30,$I$64=$Q$86,(E69*F69*G69)/900,$I$64=$Q$87,(E69*F69*G69)/10800)</f>
        <v/>
      </c>
      <c r="J69" s="1981"/>
      <c r="K69" s="1981" t="str">
        <f>IF(E69=0,"",I69*30)</f>
        <v/>
      </c>
      <c r="L69" s="1981"/>
      <c r="M69" s="1981" t="str">
        <f>IF(E69=0,"",I69*365)</f>
        <v/>
      </c>
      <c r="N69" s="1981"/>
    </row>
    <row r="70" spans="1:14" ht="14.25" customHeight="1">
      <c r="A70" s="1979"/>
      <c r="B70" s="1979"/>
      <c r="C70" s="1979"/>
      <c r="D70" s="1979"/>
      <c r="E70" s="1423"/>
      <c r="F70" s="1423"/>
      <c r="G70" s="1980" t="str">
        <f>IF(A70=0,"",_xlfn.XLOOKUP(A70,'Step 3. FA Balance'!$AW$4:$AW$11,'Step 3. FA Balance'!$AX$4:$AX$11))</f>
        <v/>
      </c>
      <c r="H70" s="1980"/>
      <c r="I70" s="1981" t="str" cm="1">
        <f t="array" ref="I70">_xlfn.IFS(E70=0,"",$I$64=$Q$84,E70*F70*G70,$I$64=$Q$85,(E70*F70*G70)/30,$I$64=$Q$86,(E70*F70*G70)/900,$I$64=$Q$87,(E70*F70*G70)/10800)</f>
        <v/>
      </c>
      <c r="J70" s="1981"/>
      <c r="K70" s="1981" t="str">
        <f>IF(E70=0,"",I70*30)</f>
        <v/>
      </c>
      <c r="L70" s="1981"/>
      <c r="M70" s="1981" t="str">
        <f>IF(E70=0,"",I70*365)</f>
        <v/>
      </c>
      <c r="N70" s="1981"/>
    </row>
    <row r="71" spans="1:14" ht="14.25" customHeight="1">
      <c r="A71" s="2060" t="s">
        <v>285</v>
      </c>
      <c r="B71" s="2061"/>
      <c r="C71" s="2061"/>
      <c r="D71" s="2061"/>
      <c r="E71" s="2061"/>
      <c r="F71" s="2061"/>
      <c r="G71" s="2061"/>
      <c r="H71" s="2062"/>
      <c r="I71" s="1981" t="str">
        <f>IF($E$66=0,"",SUM(I66:J70))</f>
        <v/>
      </c>
      <c r="J71" s="1981"/>
      <c r="K71" s="1981" t="str">
        <f>IF($E$66=0,"",SUM(K66:L70))</f>
        <v/>
      </c>
      <c r="L71" s="1981"/>
      <c r="M71" s="1981" t="str">
        <f>IF($E$66=0,"",SUM(M66:N70))</f>
        <v/>
      </c>
      <c r="N71" s="1981"/>
    </row>
    <row r="72" spans="1:14" ht="14.25" customHeight="1">
      <c r="E72" s="42"/>
      <c r="F72" s="42"/>
      <c r="G72" s="42"/>
      <c r="H72" s="42"/>
      <c r="I72" s="1422"/>
      <c r="J72" s="1422"/>
      <c r="K72" s="1422"/>
      <c r="L72" s="1422"/>
      <c r="M72" s="1422"/>
      <c r="N72" s="1422"/>
    </row>
    <row r="73" spans="1:14" ht="14.25" customHeight="1">
      <c r="A73" s="1977" t="s">
        <v>2801</v>
      </c>
      <c r="B73" s="1977"/>
      <c r="C73" s="1977"/>
      <c r="D73" s="1977"/>
      <c r="E73" s="1977"/>
      <c r="F73" s="1977"/>
      <c r="G73" s="1977"/>
      <c r="H73" s="1978"/>
      <c r="I73" s="1997" t="s">
        <v>2800</v>
      </c>
      <c r="J73" s="1998"/>
      <c r="K73" s="1998"/>
      <c r="L73" s="1998"/>
      <c r="M73" s="1998"/>
      <c r="N73" s="1999"/>
    </row>
    <row r="74" spans="1:14" ht="14.25" customHeight="1">
      <c r="A74" s="1977"/>
      <c r="B74" s="1977"/>
      <c r="C74" s="1977"/>
      <c r="D74" s="1977"/>
      <c r="E74" s="1977"/>
      <c r="F74" s="1977"/>
      <c r="G74" s="1977"/>
      <c r="H74" s="1978"/>
      <c r="I74" s="2040" t="str">
        <f>I64</f>
        <v>Lbs (air-dry)</v>
      </c>
      <c r="J74" s="2041"/>
      <c r="K74" s="2041"/>
      <c r="L74" s="2041"/>
      <c r="M74" s="2041"/>
      <c r="N74" s="2042"/>
    </row>
    <row r="75" spans="1:14" ht="14.25" customHeight="1">
      <c r="A75" s="2063" t="s">
        <v>220</v>
      </c>
      <c r="B75" s="2063"/>
      <c r="C75" s="2063"/>
      <c r="D75" s="2063"/>
      <c r="E75" s="1424" t="s">
        <v>36</v>
      </c>
      <c r="F75" s="1424" t="s">
        <v>2799</v>
      </c>
      <c r="G75" s="1987" t="s">
        <v>2798</v>
      </c>
      <c r="H75" s="1987"/>
      <c r="I75" s="2044" t="s">
        <v>2797</v>
      </c>
      <c r="J75" s="2044"/>
      <c r="K75" s="2044" t="s">
        <v>2796</v>
      </c>
      <c r="L75" s="2044"/>
      <c r="M75" s="2044" t="s">
        <v>2795</v>
      </c>
      <c r="N75" s="2044"/>
    </row>
    <row r="76" spans="1:14" ht="14.25" customHeight="1">
      <c r="A76" s="1979"/>
      <c r="B76" s="1979"/>
      <c r="C76" s="1979"/>
      <c r="D76" s="1979"/>
      <c r="E76" s="1423"/>
      <c r="F76" s="1423"/>
      <c r="G76" s="1980" t="str">
        <f>IF(A76=0,"",_xlfn.XLOOKUP(A76,'Step 3. FA Balance'!$AW$4:$AW$11,'Step 3. FA Balance'!$AX$4:$AX$11))</f>
        <v/>
      </c>
      <c r="H76" s="1980"/>
      <c r="I76" s="1981" t="str" cm="1">
        <f t="array" ref="I76">_xlfn.IFS(E76=0,"",$I$64=$Q$84,E76*F76*G76,$I$64=$Q$85,(E76*F76*G76)/30,$I$64=$Q$86,(E76*F76*G76)/900,$I$64=$Q$87,(E76*F76*G76)/10800)</f>
        <v/>
      </c>
      <c r="J76" s="1981"/>
      <c r="K76" s="1981" t="str">
        <f>IF(E76=0,"",I76*30)</f>
        <v/>
      </c>
      <c r="L76" s="1981"/>
      <c r="M76" s="1981" t="str">
        <f>IF(E76=0,"",I76*365)</f>
        <v/>
      </c>
      <c r="N76" s="1981"/>
    </row>
    <row r="77" spans="1:14" ht="14.25" customHeight="1">
      <c r="A77" s="1979"/>
      <c r="B77" s="1979"/>
      <c r="C77" s="1979"/>
      <c r="D77" s="1979"/>
      <c r="E77" s="1423"/>
      <c r="F77" s="1423"/>
      <c r="G77" s="1980" t="str">
        <f>IF(A77=0,"",_xlfn.XLOOKUP(A77,'Step 3. FA Balance'!$AW$4:$AW$11,'Step 3. FA Balance'!$AX$4:$AX$11))</f>
        <v/>
      </c>
      <c r="H77" s="1980"/>
      <c r="I77" s="1981" t="str" cm="1">
        <f t="array" ref="I77">_xlfn.IFS(E77=0,"",$I$64=$Q$84,E77*F77*G77,$I$64=$Q$85,(E77*F77*G77)/30,$I$64=$Q$86,(E77*F77*G77)/900,$I$64=$Q$87,(E77*F77*G77)/10800)</f>
        <v/>
      </c>
      <c r="J77" s="1981"/>
      <c r="K77" s="1981" t="str">
        <f>IF(E77=0,"",I77*30)</f>
        <v/>
      </c>
      <c r="L77" s="1981"/>
      <c r="M77" s="1981" t="str">
        <f>IF(E77=0,"",I77*365)</f>
        <v/>
      </c>
      <c r="N77" s="1981"/>
    </row>
    <row r="78" spans="1:14" ht="14.25" customHeight="1">
      <c r="A78" s="1979"/>
      <c r="B78" s="1979"/>
      <c r="C78" s="1979"/>
      <c r="D78" s="1979"/>
      <c r="E78" s="1423"/>
      <c r="F78" s="1423"/>
      <c r="G78" s="1980" t="str">
        <f>IF(A78=0,"",_xlfn.XLOOKUP(A78,'Step 3. FA Balance'!$AW$4:$AW$11,'Step 3. FA Balance'!$AX$4:$AX$11))</f>
        <v/>
      </c>
      <c r="H78" s="1980"/>
      <c r="I78" s="1981" t="str" cm="1">
        <f t="array" ref="I78">_xlfn.IFS(E78=0,"",$I$64=$Q$84,E78*F78*G78,$I$64=$Q$85,(E78*F78*G78)/30,$I$64=$Q$86,(E78*F78*G78)/900,$I$64=$Q$87,(E78*F78*G78)/10800)</f>
        <v/>
      </c>
      <c r="J78" s="1981"/>
      <c r="K78" s="1981" t="str">
        <f>IF(E78=0,"",I78*30)</f>
        <v/>
      </c>
      <c r="L78" s="1981"/>
      <c r="M78" s="1981" t="str">
        <f>IF(E78=0,"",I78*365)</f>
        <v/>
      </c>
      <c r="N78" s="1981"/>
    </row>
    <row r="79" spans="1:14">
      <c r="A79" s="1979"/>
      <c r="B79" s="1979"/>
      <c r="C79" s="1979"/>
      <c r="D79" s="1979"/>
      <c r="E79" s="1423"/>
      <c r="F79" s="1423"/>
      <c r="G79" s="1980" t="str">
        <f>IF(A79=0,"",_xlfn.XLOOKUP(A79,'Step 3. FA Balance'!$AW$4:$AW$11,'Step 3. FA Balance'!$AX$4:$AX$11))</f>
        <v/>
      </c>
      <c r="H79" s="1980"/>
      <c r="I79" s="1981" t="str" cm="1">
        <f t="array" ref="I79">_xlfn.IFS(E79=0,"",$I$64=$Q$84,E79*F79*G79,$I$64=$Q$85,(E79*F79*G79)/30,$I$64=$Q$86,(E79*F79*G79)/900,$I$64=$Q$87,(E79*F79*G79)/10800)</f>
        <v/>
      </c>
      <c r="J79" s="1981"/>
      <c r="K79" s="1981" t="str">
        <f>IF(E79=0,"",I79*30)</f>
        <v/>
      </c>
      <c r="L79" s="1981"/>
      <c r="M79" s="1981" t="str">
        <f>IF(E79=0,"",I79*365)</f>
        <v/>
      </c>
      <c r="N79" s="1981"/>
    </row>
    <row r="80" spans="1:14">
      <c r="A80" s="1979"/>
      <c r="B80" s="1979"/>
      <c r="C80" s="1979"/>
      <c r="D80" s="1979"/>
      <c r="E80" s="1423"/>
      <c r="F80" s="1423"/>
      <c r="G80" s="1980" t="str">
        <f>IF(A80=0,"",_xlfn.XLOOKUP(A80,'Step 3. FA Balance'!$AW$4:$AW$11,'Step 3. FA Balance'!$AX$4:$AX$11))</f>
        <v/>
      </c>
      <c r="H80" s="1980"/>
      <c r="I80" s="1981" t="str" cm="1">
        <f t="array" ref="I80">_xlfn.IFS(E80=0,"",$I$64=$Q$84,E80*F80*G80,$I$64=$Q$85,(E80*F80*G80)/30,$I$64=$Q$86,(E80*F80*G80)/900,$I$64=$Q$87,(E80*F80*G80)/10800)</f>
        <v/>
      </c>
      <c r="J80" s="1981"/>
      <c r="K80" s="1981" t="str">
        <f>IF(E80=0,"",I80*30)</f>
        <v/>
      </c>
      <c r="L80" s="1981"/>
      <c r="M80" s="1981" t="str">
        <f>IF(E80=0,"",I80*365)</f>
        <v/>
      </c>
      <c r="N80" s="1981"/>
    </row>
    <row r="81" spans="1:18">
      <c r="A81" s="2060" t="s">
        <v>285</v>
      </c>
      <c r="B81" s="2061"/>
      <c r="C81" s="2061"/>
      <c r="D81" s="2061"/>
      <c r="E81" s="2061"/>
      <c r="F81" s="2061"/>
      <c r="G81" s="2061"/>
      <c r="H81" s="2062"/>
      <c r="I81" s="1981" t="str">
        <f>IF($E$66=0,"",SUM(I76:J80))</f>
        <v/>
      </c>
      <c r="J81" s="1981"/>
      <c r="K81" s="1981" t="str">
        <f>IF($E$66=0,"",SUM(K76:L80))</f>
        <v/>
      </c>
      <c r="L81" s="1981"/>
      <c r="M81" s="1981" t="str">
        <f>IF($E$66=0,"",SUM(M76:N80))</f>
        <v/>
      </c>
      <c r="N81" s="1981"/>
    </row>
    <row r="82" spans="1:18">
      <c r="E82" s="42"/>
      <c r="F82" s="42"/>
      <c r="G82" s="42"/>
      <c r="H82" s="42"/>
      <c r="I82" s="1422"/>
      <c r="J82" s="1422"/>
      <c r="K82" s="1422"/>
      <c r="L82" s="1422"/>
      <c r="M82" s="1422"/>
      <c r="N82" s="1422"/>
    </row>
    <row r="83" spans="1:18" ht="16">
      <c r="A83" s="2015" t="s">
        <v>2794</v>
      </c>
      <c r="B83" s="2015"/>
      <c r="C83" s="2015"/>
      <c r="D83" s="2015"/>
      <c r="E83" s="2015"/>
      <c r="F83" s="2015"/>
      <c r="G83" s="2015"/>
      <c r="H83" s="2015"/>
      <c r="I83" s="2015"/>
      <c r="J83" s="2015"/>
      <c r="K83" s="2015"/>
      <c r="L83" s="2015"/>
      <c r="M83" s="2015"/>
      <c r="N83" s="2015"/>
    </row>
    <row r="84" spans="1:18">
      <c r="A84" s="1421" t="s">
        <v>2734</v>
      </c>
      <c r="B84" s="1421" t="str">
        <f>I64</f>
        <v>Lbs (air-dry)</v>
      </c>
      <c r="C84" s="1421"/>
      <c r="D84" s="1421"/>
      <c r="E84" s="1421"/>
      <c r="F84" s="1421"/>
      <c r="G84" s="1421"/>
      <c r="H84" s="1421"/>
      <c r="I84" s="1421"/>
      <c r="J84" s="1421"/>
      <c r="K84" s="1421"/>
      <c r="N84" s="1421"/>
      <c r="Q84" s="37" t="s">
        <v>2793</v>
      </c>
    </row>
    <row r="85" spans="1:18">
      <c r="B85" s="37" t="s">
        <v>276</v>
      </c>
      <c r="C85" s="37" t="s">
        <v>277</v>
      </c>
      <c r="D85" s="37" t="s">
        <v>88</v>
      </c>
      <c r="E85" s="37" t="s">
        <v>89</v>
      </c>
      <c r="F85" s="37" t="s">
        <v>39</v>
      </c>
      <c r="G85" s="37" t="s">
        <v>90</v>
      </c>
      <c r="H85" s="37" t="s">
        <v>91</v>
      </c>
      <c r="I85" s="37" t="s">
        <v>92</v>
      </c>
      <c r="J85" s="37" t="s">
        <v>93</v>
      </c>
      <c r="K85" s="37" t="s">
        <v>94</v>
      </c>
      <c r="L85" s="37" t="s">
        <v>95</v>
      </c>
      <c r="M85" s="37" t="s">
        <v>96</v>
      </c>
      <c r="N85" s="36" t="s">
        <v>76</v>
      </c>
      <c r="Q85" s="37" t="s">
        <v>2792</v>
      </c>
      <c r="R85" s="37">
        <f>1000*0.03</f>
        <v>30</v>
      </c>
    </row>
    <row r="86" spans="1:18">
      <c r="A86" s="37" t="s">
        <v>2791</v>
      </c>
      <c r="B86" s="1420" cm="1">
        <f t="array" ref="B86">_xlfn.IFS($I$64=0,"",$B$84=$Q$84,'Step 3. FA Balance'!N229,$B$84=$Q$85,'Step 3. FA Balance'!N229/30,$B$84=$Q$86,'Step 3. FA Balance'!N229/900,$B$84=$Q$87,'Step 3. FA Balance'!N229/10950)</f>
        <v>0</v>
      </c>
      <c r="C86" s="1420" cm="1">
        <f t="array" ref="C86">_xlfn.IFS($I$64=0,"",$B$84=$Q$84,'Step 3. FA Balance'!O229,$B$84=$Q$85,'Step 3. FA Balance'!O229/30,$B$84=$Q$86,'Step 3. FA Balance'!O229/900,$B$84=$Q$87,'Step 3. FA Balance'!O229/10950)</f>
        <v>0</v>
      </c>
      <c r="D86" s="1420" cm="1">
        <f t="array" ref="D86">_xlfn.IFS($I$64=0,"",$B$84=$Q$84,'Step 3. FA Balance'!P229,$B$84=$Q$85,'Step 3. FA Balance'!P229/30,$B$84=$Q$86,'Step 3. FA Balance'!P229/900,$B$84=$Q$87,'Step 3. FA Balance'!P229/10950)</f>
        <v>0</v>
      </c>
      <c r="E86" s="1420" cm="1">
        <f t="array" ref="E86">_xlfn.IFS($I$64=0,"",$B$84=$Q$84,'Step 3. FA Balance'!Q229,$B$84=$Q$85,'Step 3. FA Balance'!Q229/30,$B$84=$Q$86,'Step 3. FA Balance'!Q229/900,$B$84=$Q$87,'Step 3. FA Balance'!Q229/10950)</f>
        <v>0</v>
      </c>
      <c r="F86" s="1420" cm="1">
        <f t="array" ref="F86">_xlfn.IFS($I$64=0,"",$B$84=$Q$84,'Step 3. FA Balance'!R229,$B$84=$Q$85,'Step 3. FA Balance'!R229/30,$B$84=$Q$86,'Step 3. FA Balance'!R229/900,$B$84=$Q$87,'Step 3. FA Balance'!R229/10950)</f>
        <v>0</v>
      </c>
      <c r="G86" s="1420" cm="1">
        <f t="array" ref="G86">_xlfn.IFS($I$64=0,"",$B$84=$Q$84,'Step 3. FA Balance'!S229,$B$84=$Q$85,'Step 3. FA Balance'!S229/30,$B$84=$Q$86,'Step 3. FA Balance'!S229/900,$B$84=$Q$87,'Step 3. FA Balance'!S229/10950)</f>
        <v>0</v>
      </c>
      <c r="H86" s="1420" cm="1">
        <f t="array" ref="H86">_xlfn.IFS($I$64=0,"",$B$84=$Q$84,'Step 3. FA Balance'!T229,$B$84=$Q$85,'Step 3. FA Balance'!T229/30,$B$84=$Q$86,'Step 3. FA Balance'!T229/900,$B$84=$Q$87,'Step 3. FA Balance'!T229/10950)</f>
        <v>0</v>
      </c>
      <c r="I86" s="1420" cm="1">
        <f t="array" ref="I86">_xlfn.IFS($I$64=0,"",$B$84=$Q$84,'Step 3. FA Balance'!U229,$B$84=$Q$85,'Step 3. FA Balance'!U229/30,$B$84=$Q$86,'Step 3. FA Balance'!U229/900,$B$84=$Q$87,'Step 3. FA Balance'!U229/10950)</f>
        <v>0</v>
      </c>
      <c r="J86" s="1420" cm="1">
        <f t="array" ref="J86">_xlfn.IFS($I$64=0,"",$B$84=$Q$84,'Step 3. FA Balance'!V229,$B$84=$Q$85,'Step 3. FA Balance'!V229/30,$B$84=$Q$86,'Step 3. FA Balance'!V229/900,$B$84=$Q$87,'Step 3. FA Balance'!V229/10950)</f>
        <v>0</v>
      </c>
      <c r="K86" s="1420" cm="1">
        <f t="array" ref="K86">_xlfn.IFS($I$64=0,"",$B$84=$Q$84,'Step 3. FA Balance'!W229,$B$84=$Q$85,'Step 3. FA Balance'!W229/30,$B$84=$Q$86,'Step 3. FA Balance'!W229/900,$B$84=$Q$87,'Step 3. FA Balance'!W229/10950)</f>
        <v>0</v>
      </c>
      <c r="L86" s="1420" cm="1">
        <f t="array" ref="L86">_xlfn.IFS($I$64=0,"",$B$84=$Q$84,'Step 3. FA Balance'!X229,$B$84=$Q$85,'Step 3. FA Balance'!X229/30,$B$84=$Q$86,'Step 3. FA Balance'!X229/900,$B$84=$Q$87,'Step 3. FA Balance'!X229/10950)</f>
        <v>0</v>
      </c>
      <c r="M86" s="1420" cm="1">
        <f t="array" ref="M86">_xlfn.IFS($I$64=0,"",$B$84=$Q$84,'Step 3. FA Balance'!Y229,$B$84=$Q$85,'Step 3. FA Balance'!Y229/30,$B$84=$Q$86,'Step 3. FA Balance'!Y229/900,$B$84=$Q$87,'Step 3. FA Balance'!Y229/10950)</f>
        <v>0</v>
      </c>
      <c r="N86" s="1419">
        <f>SUM(B86:M86)</f>
        <v>0</v>
      </c>
      <c r="Q86" s="37" t="s">
        <v>2790</v>
      </c>
      <c r="R86" s="37">
        <f>R85*30</f>
        <v>900</v>
      </c>
    </row>
    <row r="87" spans="1:18">
      <c r="A87" s="37" t="s">
        <v>2789</v>
      </c>
      <c r="B87" s="1420" cm="1">
        <f t="array" ref="B87">_xlfn.IFS($I$64=0,"",$B$84=$Q$84,'Step 3. FA Balance'!N230,$B$84=$Q$85,'Step 3. FA Balance'!N230/30,$B$84=$Q$86,'Step 3. FA Balance'!N230/900,$B$84=$Q$87,'Step 3. FA Balance'!N230/10950)</f>
        <v>0</v>
      </c>
      <c r="C87" s="1420" cm="1">
        <f t="array" ref="C87">_xlfn.IFS($I$64=0,"",$B$84=$Q$84,'Step 3. FA Balance'!O230,$B$84=$Q$85,'Step 3. FA Balance'!O230/30,$B$84=$Q$86,'Step 3. FA Balance'!O230/900,$B$84=$Q$87,'Step 3. FA Balance'!O230/10950)</f>
        <v>0</v>
      </c>
      <c r="D87" s="1420" cm="1">
        <f t="array" ref="D87">_xlfn.IFS($I$64=0,"",$B$84=$Q$84,'Step 3. FA Balance'!P230,$B$84=$Q$85,'Step 3. FA Balance'!P230/30,$B$84=$Q$86,'Step 3. FA Balance'!P230/900,$B$84=$Q$87,'Step 3. FA Balance'!P230/10950)</f>
        <v>0</v>
      </c>
      <c r="E87" s="1420" cm="1">
        <f t="array" ref="E87">_xlfn.IFS($I$64=0,"",$B$84=$Q$84,'Step 3. FA Balance'!Q230,$B$84=$Q$85,'Step 3. FA Balance'!Q230/30,$B$84=$Q$86,'Step 3. FA Balance'!Q230/900,$B$84=$Q$87,'Step 3. FA Balance'!Q230/10950)</f>
        <v>0</v>
      </c>
      <c r="F87" s="1420" cm="1">
        <f t="array" ref="F87">_xlfn.IFS($I$64=0,"",$B$84=$Q$84,'Step 3. FA Balance'!R230,$B$84=$Q$85,'Step 3. FA Balance'!R230/30,$B$84=$Q$86,'Step 3. FA Balance'!R230/900,$B$84=$Q$87,'Step 3. FA Balance'!R230/10950)</f>
        <v>0</v>
      </c>
      <c r="G87" s="1420" cm="1">
        <f t="array" ref="G87">_xlfn.IFS($I$64=0,"",$B$84=$Q$84,'Step 3. FA Balance'!S230,$B$84=$Q$85,'Step 3. FA Balance'!S230/30,$B$84=$Q$86,'Step 3. FA Balance'!S230/900,$B$84=$Q$87,'Step 3. FA Balance'!S230/10950)</f>
        <v>0</v>
      </c>
      <c r="H87" s="1420" cm="1">
        <f t="array" ref="H87">_xlfn.IFS($I$64=0,"",$B$84=$Q$84,'Step 3. FA Balance'!T230,$B$84=$Q$85,'Step 3. FA Balance'!T230/30,$B$84=$Q$86,'Step 3. FA Balance'!T230/900,$B$84=$Q$87,'Step 3. FA Balance'!T230/10950)</f>
        <v>0</v>
      </c>
      <c r="I87" s="1420" cm="1">
        <f t="array" ref="I87">_xlfn.IFS($I$64=0,"",$B$84=$Q$84,'Step 3. FA Balance'!U230,$B$84=$Q$85,'Step 3. FA Balance'!U230/30,$B$84=$Q$86,'Step 3. FA Balance'!U230/900,$B$84=$Q$87,'Step 3. FA Balance'!U230/10950)</f>
        <v>0</v>
      </c>
      <c r="J87" s="1420" cm="1">
        <f t="array" ref="J87">_xlfn.IFS($I$64=0,"",$B$84=$Q$84,'Step 3. FA Balance'!V230,$B$84=$Q$85,'Step 3. FA Balance'!V230/30,$B$84=$Q$86,'Step 3. FA Balance'!V230/900,$B$84=$Q$87,'Step 3. FA Balance'!V230/10950)</f>
        <v>0</v>
      </c>
      <c r="K87" s="1420" cm="1">
        <f t="array" ref="K87">_xlfn.IFS($I$64=0,"",$B$84=$Q$84,'Step 3. FA Balance'!W230,$B$84=$Q$85,'Step 3. FA Balance'!W230/30,$B$84=$Q$86,'Step 3. FA Balance'!W230/900,$B$84=$Q$87,'Step 3. FA Balance'!W230/10950)</f>
        <v>0</v>
      </c>
      <c r="L87" s="1420" cm="1">
        <f t="array" ref="L87">_xlfn.IFS($I$64=0,"",$B$84=$Q$84,'Step 3. FA Balance'!X230,$B$84=$Q$85,'Step 3. FA Balance'!X230/30,$B$84=$Q$86,'Step 3. FA Balance'!X230/900,$B$84=$Q$87,'Step 3. FA Balance'!X230/10950)</f>
        <v>0</v>
      </c>
      <c r="M87" s="1420" cm="1">
        <f t="array" ref="M87">_xlfn.IFS($I$64=0,"",$B$84=$Q$84,'Step 3. FA Balance'!Y230,$B$84=$Q$85,'Step 3. FA Balance'!Y230/30,$B$84=$Q$86,'Step 3. FA Balance'!Y230/900,$B$84=$Q$87,'Step 3. FA Balance'!Y230/10950)</f>
        <v>0</v>
      </c>
      <c r="N87" s="1419">
        <f>SUM(B87:M87)</f>
        <v>0</v>
      </c>
      <c r="Q87" s="37" t="s">
        <v>2788</v>
      </c>
      <c r="R87" s="37">
        <f>R85*365</f>
        <v>10950</v>
      </c>
    </row>
    <row r="88" spans="1:18">
      <c r="A88" s="37" t="s">
        <v>2787</v>
      </c>
      <c r="B88" s="1420">
        <f t="shared" ref="B88:N88" si="0">B86-B87</f>
        <v>0</v>
      </c>
      <c r="C88" s="1420">
        <f t="shared" si="0"/>
        <v>0</v>
      </c>
      <c r="D88" s="1420">
        <f t="shared" si="0"/>
        <v>0</v>
      </c>
      <c r="E88" s="1420">
        <f t="shared" si="0"/>
        <v>0</v>
      </c>
      <c r="F88" s="1420">
        <f t="shared" si="0"/>
        <v>0</v>
      </c>
      <c r="G88" s="1420">
        <f t="shared" si="0"/>
        <v>0</v>
      </c>
      <c r="H88" s="1420">
        <f t="shared" si="0"/>
        <v>0</v>
      </c>
      <c r="I88" s="1420">
        <f t="shared" si="0"/>
        <v>0</v>
      </c>
      <c r="J88" s="1420">
        <f t="shared" si="0"/>
        <v>0</v>
      </c>
      <c r="K88" s="1420">
        <f t="shared" si="0"/>
        <v>0</v>
      </c>
      <c r="L88" s="1420">
        <f t="shared" si="0"/>
        <v>0</v>
      </c>
      <c r="M88" s="1420">
        <f t="shared" si="0"/>
        <v>0</v>
      </c>
      <c r="N88" s="1419">
        <f t="shared" si="0"/>
        <v>0</v>
      </c>
    </row>
    <row r="89" spans="1:18">
      <c r="A89" s="1418" t="str">
        <f>IF('Step 3. FA Balance'!N249 &lt;0,Q91,"")</f>
        <v/>
      </c>
      <c r="B89" s="73"/>
      <c r="C89" s="73"/>
      <c r="D89" s="73"/>
      <c r="E89" s="73"/>
      <c r="F89" s="73"/>
      <c r="G89" s="73"/>
      <c r="H89" s="73"/>
      <c r="I89" s="73"/>
      <c r="J89" s="73"/>
      <c r="K89" s="73"/>
      <c r="L89" s="73"/>
      <c r="M89" s="73"/>
      <c r="N89" s="73"/>
    </row>
    <row r="91" spans="1:18">
      <c r="Q91" s="37" t="s">
        <v>2786</v>
      </c>
    </row>
    <row r="93" spans="1:18" ht="227.25" customHeight="1"/>
    <row r="104" spans="1:22" ht="14">
      <c r="A104" s="37" t="s">
        <v>2785</v>
      </c>
      <c r="B104" s="1417" t="s">
        <v>647</v>
      </c>
    </row>
    <row r="105" spans="1:22" ht="14">
      <c r="B105" s="1417" t="s">
        <v>648</v>
      </c>
    </row>
    <row r="106" spans="1:22" ht="14">
      <c r="B106" s="1417" t="s">
        <v>2784</v>
      </c>
      <c r="Q106" s="37" t="s">
        <v>2783</v>
      </c>
    </row>
    <row r="108" spans="1:22" ht="16">
      <c r="A108" s="2015" t="s">
        <v>2782</v>
      </c>
      <c r="B108" s="2015"/>
      <c r="C108" s="2015"/>
      <c r="D108" s="2015"/>
      <c r="E108" s="2015"/>
      <c r="F108" s="2015"/>
      <c r="G108" s="2015"/>
      <c r="H108" s="2015"/>
      <c r="I108" s="2015"/>
      <c r="J108" s="2015"/>
      <c r="K108" s="2015"/>
      <c r="L108" s="2015"/>
      <c r="M108" s="2015"/>
      <c r="N108" s="2015"/>
      <c r="U108" s="36"/>
      <c r="V108" s="36"/>
    </row>
    <row r="109" spans="1:22">
      <c r="A109" s="36" t="s">
        <v>2781</v>
      </c>
      <c r="P109" s="36"/>
      <c r="Q109" s="36"/>
      <c r="R109" s="36"/>
      <c r="S109" s="36"/>
      <c r="T109" s="36"/>
    </row>
    <row r="110" spans="1:22" ht="14" customHeight="1" thickBot="1">
      <c r="A110" s="37" t="s">
        <v>2780</v>
      </c>
      <c r="F110" s="1416"/>
      <c r="G110" s="37" t="s">
        <v>2779</v>
      </c>
      <c r="J110" s="1416"/>
      <c r="K110" s="37" t="s">
        <v>2778</v>
      </c>
    </row>
    <row r="111" spans="1:22" ht="14" customHeight="1">
      <c r="A111" s="37" t="str">
        <f>CONCATENATE("The minimum rest period for the key forage species in the fast growing season is ",R30," days and in the slow growing season is ",S30," days.")</f>
        <v>The minimum rest period for the key forage species in the fast growing season is  days and in the slow growing season is  days.</v>
      </c>
      <c r="I111" s="42"/>
    </row>
    <row r="112" spans="1:22" ht="14" thickBot="1">
      <c r="A112" s="2003" t="s">
        <v>2777</v>
      </c>
      <c r="B112" s="2003"/>
      <c r="C112" s="37" t="s">
        <v>2776</v>
      </c>
      <c r="I112" s="1416"/>
      <c r="J112" s="37" t="s">
        <v>2774</v>
      </c>
    </row>
    <row r="113" spans="1:25" ht="14" thickBot="1">
      <c r="A113" s="2003"/>
      <c r="B113" s="2003"/>
      <c r="C113" s="37" t="s">
        <v>2775</v>
      </c>
      <c r="I113" s="1415"/>
      <c r="J113" s="37" t="s">
        <v>2774</v>
      </c>
    </row>
    <row r="114" spans="1:25">
      <c r="A114" s="2003"/>
      <c r="B114" s="2003"/>
      <c r="C114" s="37" t="str">
        <f>CONCATENATE("These grazing periods will allow for a ",Q114," day rest period in the fast growing season before being grazed again")</f>
        <v>These grazing periods will allow for a 0 day rest period in the fast growing season before being grazed again</v>
      </c>
      <c r="Q114" s="1414">
        <f>(F110-1)*I112</f>
        <v>0</v>
      </c>
      <c r="R114" s="37" t="s">
        <v>2772</v>
      </c>
      <c r="T114" s="37" t="s">
        <v>2773</v>
      </c>
    </row>
    <row r="115" spans="1:25">
      <c r="A115" s="2003"/>
      <c r="B115" s="2003"/>
      <c r="C115" s="37" t="str">
        <f>CONCATENATE("and a ",Q115," day rest period in the slow growing season before being grazed again.")</f>
        <v>and a 0 day rest period in the slow growing season before being grazed again.</v>
      </c>
      <c r="Q115" s="1414">
        <f>(F110-1)*I113</f>
        <v>0</v>
      </c>
      <c r="R115" s="37" t="s">
        <v>2772</v>
      </c>
      <c r="T115" s="37" t="s">
        <v>2771</v>
      </c>
    </row>
    <row r="116" spans="1:25" ht="246" customHeight="1">
      <c r="A116" s="2003"/>
      <c r="B116" s="2003"/>
      <c r="C116" s="1995" t="s">
        <v>2770</v>
      </c>
      <c r="D116" s="1995"/>
      <c r="E116" s="1995"/>
      <c r="F116" s="1995"/>
      <c r="G116" s="1995"/>
      <c r="H116" s="1995"/>
      <c r="I116" s="1995"/>
      <c r="J116" s="1995"/>
      <c r="K116" s="1995"/>
      <c r="L116" s="1995"/>
      <c r="M116" s="1995"/>
      <c r="N116" s="1995"/>
    </row>
    <row r="117" spans="1:25" ht="22.5" customHeight="1">
      <c r="A117" s="2004" t="s">
        <v>2769</v>
      </c>
      <c r="B117" s="2004"/>
      <c r="C117" s="1994" t="s">
        <v>3129</v>
      </c>
      <c r="D117" s="1994"/>
      <c r="E117" s="1994"/>
      <c r="F117" s="1994"/>
      <c r="G117" s="1994"/>
      <c r="H117" s="1994"/>
      <c r="I117" s="1994"/>
      <c r="J117" s="1994"/>
      <c r="K117" s="1994"/>
      <c r="L117" s="1994"/>
      <c r="M117" s="1994"/>
      <c r="N117" s="1994"/>
    </row>
    <row r="118" spans="1:25" ht="105" customHeight="1">
      <c r="A118" s="2004"/>
      <c r="B118" s="2004"/>
      <c r="C118" s="1994" t="s">
        <v>2768</v>
      </c>
      <c r="D118" s="1994"/>
      <c r="E118" s="1994"/>
      <c r="F118" s="1994"/>
      <c r="G118" s="1994"/>
      <c r="H118" s="1413"/>
      <c r="I118" s="1413"/>
      <c r="J118" s="1413"/>
      <c r="K118" s="1413"/>
      <c r="L118" s="1413"/>
      <c r="M118" s="1413"/>
      <c r="N118" s="1413"/>
    </row>
    <row r="119" spans="1:25" ht="154.5" customHeight="1">
      <c r="A119" s="2004"/>
      <c r="B119" s="2004"/>
      <c r="C119" s="1994" t="str">
        <f>CONCATENATE("Livestock should be moved when 50% of the ",M30," has been grazed off or when average stubble height is at about ",Q30," (or sooner) and before re-growth can be re-grazed within the same grazing period, especially during seasons of good growing conditions. ","In order to achieve this, some smaller paddocks may require a shorter grazing period and larger paddocks may need to be rotated before the whole paddock has been grazed, depending on the time of year and growing conditons.")</f>
        <v>Livestock should be moved when 50% of the  has been grazed off or when average stubble height is at about  (or sooner) and before re-growth can be re-grazed within the same grazing period, especially during seasons of good growing conditions. In order to achieve this, some smaller paddocks may require a shorter grazing period and larger paddocks may need to be rotated before the whole paddock has been grazed, depending on the time of year and growing conditons.</v>
      </c>
      <c r="D119" s="1994"/>
      <c r="E119" s="1994"/>
      <c r="F119" s="1994"/>
      <c r="G119" s="1994"/>
      <c r="U119" s="1994"/>
      <c r="V119" s="1994"/>
      <c r="W119" s="1994"/>
      <c r="X119" s="1994"/>
      <c r="Y119" s="1994"/>
    </row>
    <row r="120" spans="1:25" ht="55.5" customHeight="1">
      <c r="A120" s="2004"/>
      <c r="B120" s="2004"/>
      <c r="C120" s="1994" t="s">
        <v>3166</v>
      </c>
      <c r="D120" s="1994"/>
      <c r="E120" s="1994"/>
      <c r="F120" s="1994"/>
      <c r="G120" s="1994"/>
      <c r="H120" s="1994"/>
      <c r="I120" s="1994"/>
      <c r="J120" s="1994"/>
      <c r="K120" s="1994"/>
      <c r="L120" s="1994"/>
      <c r="M120" s="1994"/>
      <c r="N120" s="1994"/>
      <c r="U120" s="1412"/>
      <c r="V120" s="1412"/>
      <c r="W120" s="1412"/>
      <c r="X120" s="1412"/>
      <c r="Y120" s="1412"/>
    </row>
    <row r="121" spans="1:25" ht="88.5" customHeight="1">
      <c r="A121" s="2004" t="s">
        <v>2767</v>
      </c>
      <c r="B121" s="2004"/>
      <c r="C121" s="1994" t="s">
        <v>2766</v>
      </c>
      <c r="D121" s="1994"/>
      <c r="E121" s="1994"/>
      <c r="F121" s="1994"/>
      <c r="G121" s="1994"/>
      <c r="H121" s="1994"/>
      <c r="I121" s="1994"/>
      <c r="J121" s="1994"/>
      <c r="K121" s="1994"/>
      <c r="L121" s="1994"/>
      <c r="M121" s="1994"/>
      <c r="N121" s="1994"/>
      <c r="U121" s="1412"/>
      <c r="V121" s="1412"/>
      <c r="W121" s="1412"/>
      <c r="X121" s="1412"/>
      <c r="Y121" s="1412"/>
    </row>
    <row r="122" spans="1:25" ht="21.75" customHeight="1">
      <c r="A122" s="2006" t="s">
        <v>2765</v>
      </c>
      <c r="B122" s="2006"/>
      <c r="C122" s="2006"/>
      <c r="D122" s="2006"/>
      <c r="E122" s="2006"/>
      <c r="F122" s="2006"/>
      <c r="G122" s="2006"/>
      <c r="H122" s="2006"/>
      <c r="I122" s="2006"/>
      <c r="J122" s="2006"/>
      <c r="K122" s="2006"/>
      <c r="L122" s="2006"/>
      <c r="M122" s="2006"/>
      <c r="N122" s="2006"/>
      <c r="U122" s="1412"/>
      <c r="V122" s="1412"/>
      <c r="W122" s="1412"/>
      <c r="X122" s="1412"/>
      <c r="Y122" s="1412"/>
    </row>
    <row r="123" spans="1:25" ht="67.5" customHeight="1">
      <c r="A123" s="2003" t="s">
        <v>2757</v>
      </c>
      <c r="B123" s="2003"/>
      <c r="C123" s="2043"/>
      <c r="D123" s="2043"/>
      <c r="E123" s="2043"/>
      <c r="F123" s="2043"/>
      <c r="G123" s="2043"/>
      <c r="H123" s="2043"/>
      <c r="I123" s="2043"/>
      <c r="J123" s="2043"/>
      <c r="K123" s="2043"/>
      <c r="L123" s="2043"/>
      <c r="M123" s="2043"/>
      <c r="N123" s="2043"/>
      <c r="Q123" s="36"/>
    </row>
    <row r="124" spans="1:25" ht="16">
      <c r="A124" s="2015" t="s">
        <v>2764</v>
      </c>
      <c r="B124" s="2015"/>
      <c r="C124" s="2015"/>
      <c r="D124" s="2015"/>
      <c r="E124" s="2015"/>
      <c r="F124" s="2015"/>
      <c r="G124" s="2015"/>
      <c r="H124" s="2015"/>
      <c r="I124" s="2015"/>
      <c r="J124" s="2015"/>
      <c r="K124" s="2015"/>
      <c r="L124" s="2015"/>
      <c r="M124" s="2015"/>
      <c r="N124" s="2015"/>
    </row>
    <row r="125" spans="1:25" ht="53.25" customHeight="1">
      <c r="A125" s="2007" t="s">
        <v>2763</v>
      </c>
      <c r="B125" s="2007"/>
      <c r="C125" s="2007"/>
      <c r="D125" s="2007"/>
      <c r="E125" s="2007"/>
      <c r="F125" s="2007"/>
      <c r="G125" s="2007"/>
      <c r="H125" s="2007"/>
      <c r="I125" s="2007"/>
      <c r="J125" s="2007"/>
      <c r="K125" s="2007"/>
      <c r="L125" s="2007"/>
      <c r="M125" s="2007"/>
      <c r="N125" s="2007"/>
    </row>
    <row r="126" spans="1:25" ht="183.75" customHeight="1">
      <c r="A126" s="1994" t="s">
        <v>2762</v>
      </c>
      <c r="B126" s="1993"/>
      <c r="C126" s="1993"/>
      <c r="D126" s="1993"/>
      <c r="E126" s="1993"/>
      <c r="F126" s="1993"/>
      <c r="G126" s="1993"/>
      <c r="H126" s="1993"/>
      <c r="I126" s="1993"/>
      <c r="J126" s="1993"/>
      <c r="K126" s="1993"/>
      <c r="L126" s="1993"/>
      <c r="M126" s="1993"/>
      <c r="N126" s="1993"/>
      <c r="Q126" s="1410"/>
    </row>
    <row r="127" spans="1:25" ht="19.5" customHeight="1">
      <c r="A127" s="2008" t="s">
        <v>2761</v>
      </c>
      <c r="B127" s="2008"/>
      <c r="C127" s="2008"/>
      <c r="D127" s="2008"/>
      <c r="E127" s="2008"/>
      <c r="F127" s="2008"/>
      <c r="G127" s="2008"/>
      <c r="H127" s="2008"/>
      <c r="I127" s="2008"/>
      <c r="J127" s="2008"/>
      <c r="K127" s="2008"/>
      <c r="L127" s="2008"/>
      <c r="M127" s="2008"/>
      <c r="N127" s="2008"/>
      <c r="Q127" s="1410"/>
    </row>
    <row r="128" spans="1:25" ht="182.25" customHeight="1">
      <c r="A128" s="1412"/>
      <c r="B128" s="1411"/>
      <c r="C128" s="1411"/>
      <c r="D128" s="1411"/>
      <c r="E128" s="1411"/>
      <c r="F128" s="1411"/>
      <c r="G128" s="1411"/>
      <c r="H128" s="1411"/>
      <c r="I128" s="1411"/>
      <c r="J128" s="1411"/>
      <c r="K128" s="1411"/>
      <c r="L128" s="1411"/>
      <c r="M128" s="1411"/>
      <c r="N128" s="1411"/>
      <c r="Q128" s="1410"/>
    </row>
    <row r="129" spans="1:14" ht="47.25" customHeight="1">
      <c r="A129" s="1994" t="s">
        <v>2760</v>
      </c>
      <c r="B129" s="1993"/>
      <c r="C129" s="1993"/>
      <c r="D129" s="1993"/>
      <c r="E129" s="1993"/>
      <c r="F129" s="1993"/>
      <c r="G129" s="1993"/>
      <c r="H129" s="1993"/>
      <c r="I129" s="1993"/>
      <c r="J129" s="1993"/>
      <c r="K129" s="1993"/>
      <c r="L129" s="1993"/>
      <c r="M129" s="1993"/>
      <c r="N129" s="1993"/>
    </row>
    <row r="130" spans="1:14" ht="49.5" customHeight="1">
      <c r="A130" s="1994" t="s">
        <v>2759</v>
      </c>
      <c r="B130" s="1994"/>
      <c r="C130" s="1994"/>
      <c r="D130" s="1994"/>
      <c r="E130" s="1994"/>
      <c r="F130" s="1994"/>
      <c r="G130" s="1994"/>
      <c r="H130" s="1994"/>
      <c r="I130" s="1994"/>
      <c r="J130" s="1994"/>
      <c r="K130" s="1994"/>
      <c r="L130" s="1994"/>
      <c r="M130" s="1994"/>
      <c r="N130" s="1994"/>
    </row>
    <row r="131" spans="1:14" ht="27.75" customHeight="1">
      <c r="A131" s="2017" t="s">
        <v>2758</v>
      </c>
      <c r="B131" s="2017"/>
      <c r="C131" s="2017"/>
      <c r="D131" s="2017"/>
      <c r="E131" s="2017"/>
      <c r="F131" s="2017"/>
      <c r="G131" s="2017"/>
      <c r="H131" s="2017"/>
      <c r="I131" s="2017"/>
      <c r="J131" s="2017"/>
      <c r="K131" s="2017"/>
      <c r="L131" s="2017"/>
      <c r="M131" s="2017"/>
      <c r="N131" s="2017"/>
    </row>
    <row r="132" spans="1:14" ht="27.75" customHeight="1">
      <c r="A132" s="1993" t="s">
        <v>2757</v>
      </c>
      <c r="B132" s="1993"/>
      <c r="C132" s="1992"/>
      <c r="D132" s="1992"/>
      <c r="E132" s="1992"/>
      <c r="F132" s="1992"/>
      <c r="G132" s="1992"/>
      <c r="H132" s="1992"/>
      <c r="I132" s="1992"/>
      <c r="J132" s="1992"/>
      <c r="K132" s="1992"/>
      <c r="L132" s="1992"/>
      <c r="M132" s="1992"/>
      <c r="N132" s="1992"/>
    </row>
    <row r="133" spans="1:14" ht="16">
      <c r="A133" s="2015" t="s">
        <v>2756</v>
      </c>
      <c r="B133" s="2015"/>
      <c r="C133" s="2015"/>
      <c r="D133" s="2015"/>
      <c r="E133" s="2015"/>
      <c r="F133" s="2015"/>
      <c r="G133" s="2015"/>
      <c r="H133" s="2015"/>
      <c r="I133" s="2015"/>
      <c r="J133" s="2015"/>
      <c r="K133" s="2015"/>
      <c r="L133" s="2015"/>
      <c r="M133" s="2015"/>
      <c r="N133" s="2015"/>
    </row>
    <row r="134" spans="1:14" ht="55.5" customHeight="1">
      <c r="A134" s="2023" t="s">
        <v>2755</v>
      </c>
      <c r="B134" s="2023"/>
      <c r="C134" s="2023"/>
      <c r="D134" s="2023"/>
      <c r="E134" s="2023"/>
      <c r="F134" s="2023"/>
      <c r="G134" s="2023"/>
      <c r="H134" s="2023"/>
      <c r="I134" s="2023"/>
      <c r="J134" s="2023"/>
      <c r="K134" s="2023"/>
      <c r="L134" s="2023"/>
      <c r="M134" s="2023"/>
      <c r="N134" s="2023"/>
    </row>
    <row r="135" spans="1:14" ht="14.25" customHeight="1">
      <c r="A135" s="2034" t="s">
        <v>2754</v>
      </c>
      <c r="B135" s="2035"/>
      <c r="C135" s="2035"/>
      <c r="D135" s="2035"/>
      <c r="E135" s="2035"/>
      <c r="F135" s="2035"/>
      <c r="G135" s="2035"/>
      <c r="H135" s="2035"/>
      <c r="I135" s="2035"/>
      <c r="J135" s="2035"/>
      <c r="K135" s="2035"/>
      <c r="L135" s="2035"/>
      <c r="M135" s="2035"/>
      <c r="N135" s="2035"/>
    </row>
    <row r="136" spans="1:14">
      <c r="A136" s="1698"/>
      <c r="B136" s="2016" t="s">
        <v>2753</v>
      </c>
      <c r="C136" s="2017"/>
      <c r="D136" s="2017"/>
      <c r="E136" s="2017"/>
      <c r="F136" s="2017"/>
      <c r="G136" s="2017"/>
      <c r="H136" s="2017"/>
      <c r="I136" s="2017"/>
      <c r="J136" s="2017"/>
      <c r="K136" s="2017"/>
      <c r="L136" s="2017"/>
      <c r="M136" s="2017"/>
      <c r="N136" s="2017"/>
    </row>
    <row r="137" spans="1:14">
      <c r="A137" s="1698"/>
      <c r="B137" s="2016" t="s">
        <v>2752</v>
      </c>
      <c r="C137" s="2017"/>
      <c r="D137" s="2017"/>
      <c r="E137" s="2017"/>
      <c r="F137" s="2017"/>
      <c r="G137" s="2017"/>
      <c r="H137" s="2017"/>
      <c r="I137" s="2017"/>
      <c r="J137" s="2017"/>
      <c r="K137" s="2017"/>
      <c r="L137" s="2017"/>
      <c r="M137" s="2017"/>
      <c r="N137" s="2017"/>
    </row>
    <row r="138" spans="1:14">
      <c r="A138" s="549" t="s">
        <v>2751</v>
      </c>
      <c r="B138" s="2016" t="s">
        <v>2750</v>
      </c>
      <c r="C138" s="2017"/>
      <c r="D138" s="2017"/>
      <c r="E138" s="2017"/>
      <c r="F138" s="2017"/>
      <c r="G138" s="2017"/>
      <c r="H138" s="2017"/>
      <c r="I138" s="2017"/>
      <c r="J138" s="2017"/>
      <c r="K138" s="2017"/>
      <c r="L138" s="2017"/>
      <c r="M138" s="2017"/>
      <c r="N138" s="2017"/>
    </row>
    <row r="139" spans="1:14">
      <c r="A139" s="1698"/>
      <c r="B139" s="2016" t="s">
        <v>2749</v>
      </c>
      <c r="C139" s="2017"/>
      <c r="D139" s="2017"/>
      <c r="E139" s="2017"/>
      <c r="F139" s="2017"/>
      <c r="G139" s="2017"/>
      <c r="H139" s="2017"/>
      <c r="I139" s="2017"/>
      <c r="J139" s="2017"/>
      <c r="K139" s="2017"/>
      <c r="L139" s="2017"/>
      <c r="M139" s="2017"/>
      <c r="N139" s="2017"/>
    </row>
    <row r="140" spans="1:14">
      <c r="A140" s="1698"/>
      <c r="B140" s="37" t="s">
        <v>2748</v>
      </c>
      <c r="E140" s="2018"/>
      <c r="F140" s="2018"/>
      <c r="G140" s="2018"/>
      <c r="H140" s="2018"/>
      <c r="I140" s="2018"/>
      <c r="J140" s="2018"/>
      <c r="K140" s="2018"/>
      <c r="L140" s="2018"/>
      <c r="M140" s="2018"/>
      <c r="N140" s="2018"/>
    </row>
    <row r="141" spans="1:14">
      <c r="A141" s="2010" t="s">
        <v>2747</v>
      </c>
      <c r="B141" s="2011"/>
      <c r="C141" s="2011"/>
      <c r="D141" s="2011"/>
      <c r="E141" s="2011"/>
      <c r="F141" s="2011"/>
      <c r="G141" s="2011"/>
      <c r="H141" s="2011"/>
      <c r="I141" s="2011"/>
      <c r="J141" s="2011"/>
      <c r="K141" s="2011"/>
      <c r="L141" s="2011"/>
      <c r="M141" s="2011"/>
      <c r="N141" s="2012"/>
    </row>
    <row r="142" spans="1:14" ht="29.25" customHeight="1">
      <c r="A142" s="1409" t="s">
        <v>304</v>
      </c>
      <c r="B142" s="2014" t="s">
        <v>2746</v>
      </c>
      <c r="C142" s="2014"/>
      <c r="D142" s="2014"/>
      <c r="E142" s="2014"/>
      <c r="F142" s="2031" t="s">
        <v>2745</v>
      </c>
      <c r="G142" s="2014"/>
      <c r="H142" s="2014"/>
      <c r="I142" s="2014"/>
      <c r="J142" s="2014" t="s">
        <v>2744</v>
      </c>
      <c r="K142" s="2014"/>
      <c r="L142" s="2014"/>
      <c r="M142" s="2014" t="s">
        <v>2743</v>
      </c>
      <c r="N142" s="2014"/>
    </row>
    <row r="143" spans="1:14">
      <c r="A143" s="1699"/>
      <c r="B143" s="2013"/>
      <c r="C143" s="2013"/>
      <c r="D143" s="2013"/>
      <c r="E143" s="2013"/>
      <c r="F143" s="2013"/>
      <c r="G143" s="2013"/>
      <c r="H143" s="2013"/>
      <c r="I143" s="2013"/>
      <c r="J143" s="2013"/>
      <c r="K143" s="2013"/>
      <c r="L143" s="2013"/>
      <c r="M143" s="2013"/>
      <c r="N143" s="2013"/>
    </row>
    <row r="144" spans="1:14">
      <c r="A144" s="1699"/>
      <c r="B144" s="2013"/>
      <c r="C144" s="2013"/>
      <c r="D144" s="2013"/>
      <c r="E144" s="2013"/>
      <c r="F144" s="2013"/>
      <c r="G144" s="2013"/>
      <c r="H144" s="2013"/>
      <c r="I144" s="2013"/>
      <c r="J144" s="2013"/>
      <c r="K144" s="2013"/>
      <c r="L144" s="2013"/>
      <c r="M144" s="2013"/>
      <c r="N144" s="2013"/>
    </row>
    <row r="145" spans="1:14">
      <c r="A145" s="1699"/>
      <c r="B145" s="2013"/>
      <c r="C145" s="2013"/>
      <c r="D145" s="2013"/>
      <c r="E145" s="2013"/>
      <c r="F145" s="2013"/>
      <c r="G145" s="2013"/>
      <c r="H145" s="2013"/>
      <c r="I145" s="2013"/>
      <c r="J145" s="2013"/>
      <c r="K145" s="2013"/>
      <c r="L145" s="2013"/>
      <c r="M145" s="2013"/>
      <c r="N145" s="2013"/>
    </row>
    <row r="146" spans="1:14">
      <c r="A146" s="1699"/>
      <c r="B146" s="2013"/>
      <c r="C146" s="2013"/>
      <c r="D146" s="2013"/>
      <c r="E146" s="2013"/>
      <c r="F146" s="2013"/>
      <c r="G146" s="2013"/>
      <c r="H146" s="2013"/>
      <c r="I146" s="2013"/>
      <c r="J146" s="2013"/>
      <c r="K146" s="2013"/>
      <c r="L146" s="2013"/>
      <c r="M146" s="2013"/>
      <c r="N146" s="2013"/>
    </row>
    <row r="147" spans="1:14">
      <c r="A147" s="1699"/>
      <c r="B147" s="2013"/>
      <c r="C147" s="2013"/>
      <c r="D147" s="2013"/>
      <c r="E147" s="2013"/>
      <c r="F147" s="2013"/>
      <c r="G147" s="2013"/>
      <c r="H147" s="2013"/>
      <c r="I147" s="2013"/>
      <c r="J147" s="2013"/>
      <c r="K147" s="2013"/>
      <c r="L147" s="2013"/>
      <c r="M147" s="2013"/>
      <c r="N147" s="2013"/>
    </row>
    <row r="148" spans="1:14">
      <c r="A148" s="1699"/>
      <c r="B148" s="2013"/>
      <c r="C148" s="2013"/>
      <c r="D148" s="2013"/>
      <c r="E148" s="2013"/>
      <c r="F148" s="2013"/>
      <c r="G148" s="2013"/>
      <c r="H148" s="2013"/>
      <c r="I148" s="2013"/>
      <c r="J148" s="2013"/>
      <c r="K148" s="2013"/>
      <c r="L148" s="2013"/>
      <c r="M148" s="2013"/>
      <c r="N148" s="2013"/>
    </row>
    <row r="149" spans="1:14">
      <c r="A149" s="1699"/>
      <c r="B149" s="2013"/>
      <c r="C149" s="2013"/>
      <c r="D149" s="2013"/>
      <c r="E149" s="2013"/>
      <c r="F149" s="2013"/>
      <c r="G149" s="2013"/>
      <c r="H149" s="2013"/>
      <c r="I149" s="2013"/>
      <c r="J149" s="2013"/>
      <c r="K149" s="2013"/>
      <c r="L149" s="2013"/>
      <c r="M149" s="2013"/>
      <c r="N149" s="2013"/>
    </row>
    <row r="151" spans="1:14" ht="18">
      <c r="A151" s="2033" t="s">
        <v>2706</v>
      </c>
      <c r="B151" s="2033"/>
      <c r="C151" s="2033"/>
      <c r="D151" s="2033"/>
      <c r="E151" s="2033"/>
      <c r="F151" s="2033"/>
      <c r="G151" s="2033"/>
      <c r="H151" s="2033"/>
      <c r="I151" s="2033"/>
      <c r="J151" s="2033"/>
      <c r="K151" s="2033"/>
      <c r="L151" s="2033"/>
      <c r="M151" s="2033"/>
      <c r="N151" s="2033"/>
    </row>
    <row r="152" spans="1:14">
      <c r="A152" s="1407" t="s">
        <v>2742</v>
      </c>
    </row>
    <row r="153" spans="1:14" ht="21" customHeight="1">
      <c r="A153" s="1406" t="s">
        <v>2741</v>
      </c>
      <c r="B153" s="62"/>
      <c r="C153" s="62"/>
      <c r="D153" s="62"/>
      <c r="E153" s="62"/>
      <c r="F153" s="62"/>
      <c r="G153" s="62"/>
      <c r="H153" s="62"/>
      <c r="I153" s="62"/>
      <c r="J153" s="62"/>
      <c r="K153" s="62"/>
      <c r="L153" s="62"/>
      <c r="M153" s="62"/>
      <c r="N153" s="62"/>
    </row>
    <row r="154" spans="1:14" ht="30.75" customHeight="1">
      <c r="A154" s="2023" t="s">
        <v>2740</v>
      </c>
      <c r="B154" s="2023"/>
      <c r="C154" s="2023"/>
      <c r="D154" s="2023"/>
      <c r="E154" s="2023"/>
      <c r="F154" s="2023"/>
      <c r="G154" s="2023"/>
      <c r="H154" s="2023"/>
      <c r="I154" s="2023"/>
      <c r="J154" s="2023"/>
      <c r="K154" s="2023"/>
      <c r="L154" s="2023"/>
      <c r="M154" s="2023"/>
      <c r="N154" s="2023"/>
    </row>
    <row r="155" spans="1:14" ht="15" customHeight="1">
      <c r="A155" s="1405"/>
      <c r="B155" s="1405"/>
      <c r="C155" s="1405"/>
      <c r="D155" s="1405"/>
      <c r="E155" s="1405"/>
      <c r="F155" s="1405"/>
      <c r="G155" s="1405"/>
      <c r="H155" s="1405"/>
      <c r="I155" s="1405"/>
      <c r="J155" s="2032" t="s">
        <v>2739</v>
      </c>
      <c r="K155" s="2032"/>
      <c r="L155" s="2032"/>
      <c r="M155" s="2032"/>
      <c r="N155" s="2032"/>
    </row>
    <row r="156" spans="1:14" ht="19.5" customHeight="1">
      <c r="A156" s="1404" t="s">
        <v>2738</v>
      </c>
      <c r="B156" s="1404" t="s">
        <v>2737</v>
      </c>
      <c r="C156" s="2009" t="s">
        <v>2736</v>
      </c>
      <c r="D156" s="2009"/>
      <c r="E156" s="2009" t="s">
        <v>2735</v>
      </c>
      <c r="F156" s="2009"/>
      <c r="G156" s="2009"/>
      <c r="H156" s="2009" t="s">
        <v>2734</v>
      </c>
      <c r="I156" s="2009"/>
      <c r="J156" s="1404" t="s">
        <v>2733</v>
      </c>
      <c r="K156" s="1404" t="s">
        <v>2732</v>
      </c>
      <c r="L156" s="1404" t="s">
        <v>2731</v>
      </c>
      <c r="M156" s="1404" t="s">
        <v>2730</v>
      </c>
      <c r="N156" s="1404" t="s">
        <v>2729</v>
      </c>
    </row>
    <row r="157" spans="1:14" ht="26.25" customHeight="1">
      <c r="A157" s="1403" t="s">
        <v>2728</v>
      </c>
      <c r="B157" s="1403">
        <v>528</v>
      </c>
      <c r="C157" s="2022" t="s">
        <v>2727</v>
      </c>
      <c r="D157" s="2022"/>
      <c r="E157" s="2021" t="s">
        <v>2726</v>
      </c>
      <c r="F157" s="2021"/>
      <c r="G157" s="2021"/>
      <c r="H157" s="2019" t="s">
        <v>2725</v>
      </c>
      <c r="I157" s="2019"/>
      <c r="J157" s="1400" t="s">
        <v>2724</v>
      </c>
      <c r="K157" s="1400" t="s">
        <v>2723</v>
      </c>
      <c r="L157" s="1400" t="s">
        <v>2722</v>
      </c>
      <c r="M157" s="1400" t="s">
        <v>2721</v>
      </c>
      <c r="N157" s="1400" t="s">
        <v>2708</v>
      </c>
    </row>
    <row r="158" spans="1:14" ht="60">
      <c r="A158" s="1402"/>
      <c r="B158" s="1401"/>
      <c r="C158" s="1401"/>
      <c r="D158" s="1401"/>
      <c r="E158" s="2020" t="s">
        <v>2720</v>
      </c>
      <c r="F158" s="2020"/>
      <c r="G158" s="2020"/>
      <c r="H158" s="2020" t="s">
        <v>2719</v>
      </c>
      <c r="I158" s="2020"/>
      <c r="J158" s="1396" t="s">
        <v>2718</v>
      </c>
      <c r="K158" s="1396" t="s">
        <v>2717</v>
      </c>
      <c r="L158" s="1396" t="s">
        <v>2716</v>
      </c>
      <c r="M158" s="1396" t="s">
        <v>2715</v>
      </c>
      <c r="N158" s="1400" t="s">
        <v>2708</v>
      </c>
    </row>
    <row r="159" spans="1:14" ht="69.75" customHeight="1">
      <c r="A159" s="1399"/>
      <c r="B159" s="1399"/>
      <c r="C159" s="1399"/>
      <c r="D159" s="1399"/>
      <c r="E159" s="2021" t="s">
        <v>2714</v>
      </c>
      <c r="F159" s="2021"/>
      <c r="G159" s="2021"/>
      <c r="H159" s="2021" t="s">
        <v>2713</v>
      </c>
      <c r="I159" s="2021"/>
      <c r="J159" s="1398" t="s">
        <v>2712</v>
      </c>
      <c r="K159" s="1398" t="s">
        <v>2711</v>
      </c>
      <c r="L159" s="1398" t="s">
        <v>2710</v>
      </c>
      <c r="M159" s="1398" t="s">
        <v>2709</v>
      </c>
      <c r="N159" s="1397" t="s">
        <v>2708</v>
      </c>
    </row>
    <row r="160" spans="1:14" ht="25.5" customHeight="1">
      <c r="A160" s="1622"/>
      <c r="B160" s="1622"/>
      <c r="C160" s="1622"/>
      <c r="D160" s="1622"/>
      <c r="E160" s="1700"/>
      <c r="F160" s="1700"/>
      <c r="G160" s="1700"/>
      <c r="H160" s="1975" t="s">
        <v>3167</v>
      </c>
      <c r="I160" s="1975"/>
      <c r="J160" s="1701"/>
      <c r="K160" s="1701"/>
      <c r="L160" s="1701"/>
      <c r="M160" s="1701"/>
      <c r="N160" s="1702"/>
    </row>
    <row r="161" spans="1:14">
      <c r="A161" s="2028" t="s">
        <v>2707</v>
      </c>
      <c r="B161" s="2029"/>
      <c r="C161" s="2029"/>
      <c r="D161" s="2029"/>
      <c r="E161" s="1395"/>
      <c r="F161" s="1395"/>
      <c r="G161" s="1395"/>
      <c r="H161" s="1395"/>
      <c r="I161" s="1395"/>
      <c r="J161" s="1395"/>
      <c r="K161" s="1395"/>
      <c r="L161" s="1395"/>
      <c r="M161" s="1395"/>
      <c r="N161" s="1394"/>
    </row>
    <row r="162" spans="1:14" s="36" customFormat="1" ht="21" customHeight="1">
      <c r="A162" s="2030" t="s">
        <v>2706</v>
      </c>
      <c r="B162" s="2030"/>
      <c r="C162" s="2030"/>
      <c r="D162" s="2030"/>
      <c r="E162" s="1990" t="s">
        <v>2705</v>
      </c>
      <c r="F162" s="1990"/>
      <c r="G162" s="1990"/>
      <c r="H162" s="1990" t="s">
        <v>2690</v>
      </c>
      <c r="I162" s="1990"/>
      <c r="J162" s="1990"/>
      <c r="K162" s="1990" t="s">
        <v>2689</v>
      </c>
      <c r="L162" s="1990"/>
      <c r="M162" s="1990" t="s">
        <v>2704</v>
      </c>
      <c r="N162" s="1990"/>
    </row>
    <row r="163" spans="1:14" ht="20.25" customHeight="1">
      <c r="A163" s="2027" t="s">
        <v>2703</v>
      </c>
      <c r="B163" s="2027"/>
      <c r="C163" s="2027"/>
      <c r="D163" s="2027"/>
      <c r="E163" s="2013"/>
      <c r="F163" s="2013"/>
      <c r="G163" s="2013"/>
      <c r="H163" s="2013"/>
      <c r="I163" s="2013"/>
      <c r="J163" s="2013"/>
      <c r="K163" s="2013"/>
      <c r="L163" s="2013"/>
      <c r="M163" s="2013"/>
      <c r="N163" s="2013"/>
    </row>
    <row r="164" spans="1:14" ht="20.25" customHeight="1">
      <c r="A164" s="2027" t="s">
        <v>2702</v>
      </c>
      <c r="B164" s="2027"/>
      <c r="C164" s="2027"/>
      <c r="D164" s="2027"/>
      <c r="E164" s="2013"/>
      <c r="F164" s="2013"/>
      <c r="G164" s="2013"/>
      <c r="H164" s="2013"/>
      <c r="I164" s="2013"/>
      <c r="J164" s="2013"/>
      <c r="K164" s="2013"/>
      <c r="L164" s="2013"/>
      <c r="M164" s="2013"/>
      <c r="N164" s="2013"/>
    </row>
    <row r="165" spans="1:14">
      <c r="A165" s="2026" t="s">
        <v>2701</v>
      </c>
      <c r="B165" s="2026"/>
      <c r="C165" s="2026"/>
      <c r="D165" s="2026"/>
      <c r="E165" s="2026"/>
      <c r="F165" s="2026"/>
      <c r="G165" s="2026"/>
      <c r="H165" s="2026"/>
      <c r="I165" s="2026"/>
      <c r="J165" s="2026"/>
      <c r="K165" s="2026"/>
      <c r="L165" s="2026"/>
      <c r="M165" s="2026"/>
      <c r="N165" s="2026"/>
    </row>
    <row r="166" spans="1:14" ht="26.25" customHeight="1">
      <c r="A166" s="2023" t="s">
        <v>2700</v>
      </c>
      <c r="B166" s="2023"/>
      <c r="C166" s="2023"/>
      <c r="D166" s="2023"/>
      <c r="E166" s="2023"/>
      <c r="F166" s="2023"/>
      <c r="G166" s="2023"/>
      <c r="H166" s="2023"/>
      <c r="I166" s="2023"/>
      <c r="J166" s="2023"/>
      <c r="K166" s="2023"/>
      <c r="L166" s="2023"/>
      <c r="M166" s="2023"/>
      <c r="N166" s="2023"/>
    </row>
    <row r="168" spans="1:14">
      <c r="A168" s="37" t="s">
        <v>2699</v>
      </c>
    </row>
    <row r="169" spans="1:14">
      <c r="A169" s="37" t="s">
        <v>2698</v>
      </c>
    </row>
    <row r="170" spans="1:14">
      <c r="B170" s="1393" t="s">
        <v>2697</v>
      </c>
    </row>
    <row r="171" spans="1:14">
      <c r="B171" s="1393" t="s">
        <v>2696</v>
      </c>
    </row>
    <row r="172" spans="1:14">
      <c r="B172" s="1393" t="s">
        <v>2695</v>
      </c>
    </row>
    <row r="173" spans="1:14">
      <c r="C173" s="1393" t="s">
        <v>2694</v>
      </c>
    </row>
    <row r="174" spans="1:14">
      <c r="C174" s="1393" t="s">
        <v>2693</v>
      </c>
    </row>
    <row r="175" spans="1:14">
      <c r="B175" s="1393" t="s">
        <v>2692</v>
      </c>
    </row>
    <row r="176" spans="1:14" ht="24.75" customHeight="1">
      <c r="B176" s="2024" t="s">
        <v>2691</v>
      </c>
      <c r="C176" s="2024"/>
      <c r="D176" s="2024"/>
      <c r="E176" s="2024"/>
      <c r="F176" s="2024"/>
      <c r="G176" s="2024"/>
      <c r="H176" s="2024"/>
      <c r="I176" s="2024"/>
      <c r="J176" s="2024"/>
      <c r="K176" s="2024"/>
      <c r="L176" s="2024"/>
      <c r="M176" s="2024"/>
      <c r="N176" s="2024"/>
    </row>
    <row r="177" spans="1:14">
      <c r="A177" s="1392"/>
      <c r="B177" s="1392"/>
      <c r="C177" s="1392"/>
      <c r="D177" s="1392"/>
      <c r="E177" s="1392"/>
      <c r="F177" s="1392"/>
      <c r="G177" s="1392"/>
      <c r="I177" s="1392"/>
      <c r="J177" s="1392"/>
      <c r="K177" s="1392"/>
      <c r="L177" s="1392"/>
      <c r="M177" s="1392"/>
      <c r="N177" s="1392"/>
    </row>
    <row r="178" spans="1:14">
      <c r="A178" s="1391"/>
      <c r="B178" s="1391"/>
      <c r="C178" s="1391"/>
      <c r="D178" s="1391"/>
      <c r="E178" s="1391"/>
      <c r="F178" s="1391"/>
      <c r="G178" s="1391"/>
      <c r="I178" s="1391"/>
      <c r="J178" s="1391"/>
      <c r="K178" s="1391"/>
      <c r="L178" s="1391"/>
      <c r="M178" s="1391"/>
      <c r="N178" s="1391"/>
    </row>
    <row r="179" spans="1:14">
      <c r="A179" s="2025" t="s">
        <v>2690</v>
      </c>
      <c r="B179" s="2025"/>
      <c r="C179" s="2025"/>
      <c r="D179" s="2025"/>
      <c r="E179" s="2025"/>
      <c r="F179" s="2025"/>
      <c r="G179" s="2025"/>
      <c r="I179" s="2025" t="s">
        <v>2689</v>
      </c>
      <c r="J179" s="2025"/>
      <c r="K179" s="2025"/>
      <c r="L179" s="2025"/>
      <c r="M179" s="2025"/>
      <c r="N179" s="2025"/>
    </row>
  </sheetData>
  <sheetProtection sheet="1" formatCells="0" formatRows="0"/>
  <mergeCells count="267">
    <mergeCell ref="A124:N124"/>
    <mergeCell ref="I78:J78"/>
    <mergeCell ref="K78:L78"/>
    <mergeCell ref="M78:N78"/>
    <mergeCell ref="I69:J69"/>
    <mergeCell ref="G75:H75"/>
    <mergeCell ref="K70:L70"/>
    <mergeCell ref="A108:N108"/>
    <mergeCell ref="G78:H78"/>
    <mergeCell ref="A83:N83"/>
    <mergeCell ref="I81:J81"/>
    <mergeCell ref="K81:L81"/>
    <mergeCell ref="M81:N81"/>
    <mergeCell ref="A81:H81"/>
    <mergeCell ref="A69:D69"/>
    <mergeCell ref="A70:D70"/>
    <mergeCell ref="G77:H77"/>
    <mergeCell ref="I77:J77"/>
    <mergeCell ref="M77:N77"/>
    <mergeCell ref="A71:H71"/>
    <mergeCell ref="M76:N76"/>
    <mergeCell ref="A75:D75"/>
    <mergeCell ref="I75:J75"/>
    <mergeCell ref="M75:N75"/>
    <mergeCell ref="G67:H67"/>
    <mergeCell ref="G68:H68"/>
    <mergeCell ref="K67:L67"/>
    <mergeCell ref="I67:J67"/>
    <mergeCell ref="I68:J68"/>
    <mergeCell ref="M68:N68"/>
    <mergeCell ref="M69:N69"/>
    <mergeCell ref="M70:N70"/>
    <mergeCell ref="K76:L76"/>
    <mergeCell ref="M71:N71"/>
    <mergeCell ref="A6:B6"/>
    <mergeCell ref="A8:B8"/>
    <mergeCell ref="L6:N6"/>
    <mergeCell ref="L8:N8"/>
    <mergeCell ref="C6:I6"/>
    <mergeCell ref="C8:I8"/>
    <mergeCell ref="E45:F45"/>
    <mergeCell ref="K68:L68"/>
    <mergeCell ref="K69:L69"/>
    <mergeCell ref="M66:N66"/>
    <mergeCell ref="K65:L65"/>
    <mergeCell ref="M67:N67"/>
    <mergeCell ref="E60:F60"/>
    <mergeCell ref="L24:M24"/>
    <mergeCell ref="L25:M25"/>
    <mergeCell ref="I64:N64"/>
    <mergeCell ref="I65:J65"/>
    <mergeCell ref="A62:N62"/>
    <mergeCell ref="K66:L66"/>
    <mergeCell ref="M65:N65"/>
    <mergeCell ref="E36:F36"/>
    <mergeCell ref="A66:D66"/>
    <mergeCell ref="A67:D67"/>
    <mergeCell ref="A68:D68"/>
    <mergeCell ref="A129:N129"/>
    <mergeCell ref="K75:L75"/>
    <mergeCell ref="A10:B10"/>
    <mergeCell ref="J10:K10"/>
    <mergeCell ref="B15:N15"/>
    <mergeCell ref="B16:N16"/>
    <mergeCell ref="B17:N17"/>
    <mergeCell ref="B18:N18"/>
    <mergeCell ref="A20:N20"/>
    <mergeCell ref="L10:N10"/>
    <mergeCell ref="L12:N12"/>
    <mergeCell ref="C12:I12"/>
    <mergeCell ref="C10:I10"/>
    <mergeCell ref="E56:F56"/>
    <mergeCell ref="E57:F57"/>
    <mergeCell ref="E58:F58"/>
    <mergeCell ref="E59:F59"/>
    <mergeCell ref="B26:K26"/>
    <mergeCell ref="L26:M26"/>
    <mergeCell ref="A28:N28"/>
    <mergeCell ref="E48:F48"/>
    <mergeCell ref="L23:M23"/>
    <mergeCell ref="A12:B12"/>
    <mergeCell ref="G66:H66"/>
    <mergeCell ref="B24:K24"/>
    <mergeCell ref="B25:K25"/>
    <mergeCell ref="B138:N138"/>
    <mergeCell ref="I70:J70"/>
    <mergeCell ref="A76:D76"/>
    <mergeCell ref="G76:H76"/>
    <mergeCell ref="K79:L79"/>
    <mergeCell ref="M79:N79"/>
    <mergeCell ref="A78:D78"/>
    <mergeCell ref="I74:N74"/>
    <mergeCell ref="I73:N73"/>
    <mergeCell ref="I76:J76"/>
    <mergeCell ref="A123:B123"/>
    <mergeCell ref="C123:N123"/>
    <mergeCell ref="C120:N120"/>
    <mergeCell ref="C121:N121"/>
    <mergeCell ref="A121:B121"/>
    <mergeCell ref="I71:J71"/>
    <mergeCell ref="A77:D77"/>
    <mergeCell ref="A131:N131"/>
    <mergeCell ref="K77:L77"/>
    <mergeCell ref="C37:D37"/>
    <mergeCell ref="C38:D38"/>
    <mergeCell ref="A126:N126"/>
    <mergeCell ref="A134:N134"/>
    <mergeCell ref="A135:N135"/>
    <mergeCell ref="B136:N136"/>
    <mergeCell ref="B137:N137"/>
    <mergeCell ref="A2:N2"/>
    <mergeCell ref="A3:N3"/>
    <mergeCell ref="A4:N4"/>
    <mergeCell ref="C53:D53"/>
    <mergeCell ref="C54:D54"/>
    <mergeCell ref="C55:D55"/>
    <mergeCell ref="C43:D43"/>
    <mergeCell ref="C44:D44"/>
    <mergeCell ref="C45:D45"/>
    <mergeCell ref="C46:D46"/>
    <mergeCell ref="E50:F50"/>
    <mergeCell ref="E51:F51"/>
    <mergeCell ref="E52:F52"/>
    <mergeCell ref="E53:F53"/>
    <mergeCell ref="E54:F54"/>
    <mergeCell ref="E55:F55"/>
    <mergeCell ref="J8:K8"/>
    <mergeCell ref="A23:K23"/>
    <mergeCell ref="C36:D36"/>
    <mergeCell ref="J12:K12"/>
    <mergeCell ref="C39:D39"/>
    <mergeCell ref="C48:D48"/>
    <mergeCell ref="C49:D49"/>
    <mergeCell ref="E37:F37"/>
    <mergeCell ref="E38:F38"/>
    <mergeCell ref="E39:F39"/>
    <mergeCell ref="E40:F40"/>
    <mergeCell ref="E41:F41"/>
    <mergeCell ref="E42:F42"/>
    <mergeCell ref="E43:F43"/>
    <mergeCell ref="E44:F44"/>
    <mergeCell ref="E46:F46"/>
    <mergeCell ref="E47:F47"/>
    <mergeCell ref="E49:F49"/>
    <mergeCell ref="C40:D40"/>
    <mergeCell ref="C41:D41"/>
    <mergeCell ref="C42:D42"/>
    <mergeCell ref="A161:D161"/>
    <mergeCell ref="A162:D162"/>
    <mergeCell ref="M147:N147"/>
    <mergeCell ref="F142:I142"/>
    <mergeCell ref="J142:L142"/>
    <mergeCell ref="M142:N142"/>
    <mergeCell ref="A154:N154"/>
    <mergeCell ref="J155:N155"/>
    <mergeCell ref="A151:N151"/>
    <mergeCell ref="F148:I148"/>
    <mergeCell ref="J148:L148"/>
    <mergeCell ref="M148:N148"/>
    <mergeCell ref="B146:E146"/>
    <mergeCell ref="F146:I146"/>
    <mergeCell ref="J146:L146"/>
    <mergeCell ref="M146:N146"/>
    <mergeCell ref="B147:E147"/>
    <mergeCell ref="F147:I147"/>
    <mergeCell ref="J147:L147"/>
    <mergeCell ref="B149:E149"/>
    <mergeCell ref="F149:I149"/>
    <mergeCell ref="J149:L149"/>
    <mergeCell ref="M149:N149"/>
    <mergeCell ref="E162:G162"/>
    <mergeCell ref="A166:N166"/>
    <mergeCell ref="B176:N176"/>
    <mergeCell ref="A179:G179"/>
    <mergeCell ref="I179:N179"/>
    <mergeCell ref="K163:L163"/>
    <mergeCell ref="K164:L164"/>
    <mergeCell ref="M163:N163"/>
    <mergeCell ref="M164:N164"/>
    <mergeCell ref="A165:N165"/>
    <mergeCell ref="A163:D163"/>
    <mergeCell ref="A164:D164"/>
    <mergeCell ref="E163:G163"/>
    <mergeCell ref="E164:G164"/>
    <mergeCell ref="H163:J163"/>
    <mergeCell ref="H164:J164"/>
    <mergeCell ref="H157:I157"/>
    <mergeCell ref="H158:I158"/>
    <mergeCell ref="H159:I159"/>
    <mergeCell ref="C156:D156"/>
    <mergeCell ref="C157:D157"/>
    <mergeCell ref="E157:G157"/>
    <mergeCell ref="E159:G159"/>
    <mergeCell ref="E158:G158"/>
    <mergeCell ref="E156:G156"/>
    <mergeCell ref="U119:Y119"/>
    <mergeCell ref="A122:N122"/>
    <mergeCell ref="A125:N125"/>
    <mergeCell ref="A127:N127"/>
    <mergeCell ref="A130:N130"/>
    <mergeCell ref="H156:I156"/>
    <mergeCell ref="A141:N141"/>
    <mergeCell ref="B148:E148"/>
    <mergeCell ref="M145:N145"/>
    <mergeCell ref="B144:E144"/>
    <mergeCell ref="F144:I144"/>
    <mergeCell ref="J144:L144"/>
    <mergeCell ref="B145:E145"/>
    <mergeCell ref="F145:I145"/>
    <mergeCell ref="J145:L145"/>
    <mergeCell ref="B142:E142"/>
    <mergeCell ref="B143:E143"/>
    <mergeCell ref="F143:I143"/>
    <mergeCell ref="J143:L143"/>
    <mergeCell ref="M143:N143"/>
    <mergeCell ref="M144:N144"/>
    <mergeCell ref="A133:N133"/>
    <mergeCell ref="B139:N139"/>
    <mergeCell ref="E140:N140"/>
    <mergeCell ref="M34:N34"/>
    <mergeCell ref="B34:F34"/>
    <mergeCell ref="H162:J162"/>
    <mergeCell ref="K162:L162"/>
    <mergeCell ref="M162:N162"/>
    <mergeCell ref="A14:N14"/>
    <mergeCell ref="C132:N132"/>
    <mergeCell ref="A132:B132"/>
    <mergeCell ref="C117:N117"/>
    <mergeCell ref="C116:N116"/>
    <mergeCell ref="C118:G118"/>
    <mergeCell ref="G34:L34"/>
    <mergeCell ref="I63:N63"/>
    <mergeCell ref="G69:H69"/>
    <mergeCell ref="G70:H70"/>
    <mergeCell ref="A65:D65"/>
    <mergeCell ref="C58:D58"/>
    <mergeCell ref="C59:D59"/>
    <mergeCell ref="C60:D60"/>
    <mergeCell ref="A112:B116"/>
    <mergeCell ref="C119:G119"/>
    <mergeCell ref="A117:B120"/>
    <mergeCell ref="M30:N30"/>
    <mergeCell ref="K71:L71"/>
    <mergeCell ref="A1:N1"/>
    <mergeCell ref="H160:I160"/>
    <mergeCell ref="A30:L30"/>
    <mergeCell ref="A63:H64"/>
    <mergeCell ref="A73:H74"/>
    <mergeCell ref="A80:D80"/>
    <mergeCell ref="G80:H80"/>
    <mergeCell ref="I80:J80"/>
    <mergeCell ref="K80:L80"/>
    <mergeCell ref="M80:N80"/>
    <mergeCell ref="A79:D79"/>
    <mergeCell ref="G79:H79"/>
    <mergeCell ref="I79:J79"/>
    <mergeCell ref="A31:N31"/>
    <mergeCell ref="M33:N33"/>
    <mergeCell ref="C47:D47"/>
    <mergeCell ref="C56:D56"/>
    <mergeCell ref="C57:D57"/>
    <mergeCell ref="C50:D50"/>
    <mergeCell ref="C51:D51"/>
    <mergeCell ref="C52:D52"/>
    <mergeCell ref="G65:H65"/>
    <mergeCell ref="I66:J66"/>
    <mergeCell ref="M32:N32"/>
  </mergeCells>
  <conditionalFormatting sqref="B88:N89">
    <cfRule type="expression" dxfId="5" priority="3">
      <formula>"&gt;0"</formula>
    </cfRule>
    <cfRule type="cellIs" dxfId="4" priority="4" operator="lessThan">
      <formula>0</formula>
    </cfRule>
  </conditionalFormatting>
  <conditionalFormatting sqref="C114">
    <cfRule type="expression" dxfId="3" priority="2">
      <formula>$Q$114&lt;$R$30</formula>
    </cfRule>
  </conditionalFormatting>
  <conditionalFormatting sqref="C115">
    <cfRule type="expression" dxfId="2" priority="1">
      <formula>$Q$115&lt;$S$30</formula>
    </cfRule>
  </conditionalFormatting>
  <dataValidations count="2">
    <dataValidation type="list" allowBlank="1" showInputMessage="1" sqref="B15:N18" xr:uid="{A2FBECF0-4E8D-4B1D-A421-4D4FA46DF4CD}">
      <formula1>$Q$7:$Q$13</formula1>
    </dataValidation>
    <dataValidation type="list" allowBlank="1" showInputMessage="1" showErrorMessage="1" sqref="I64" xr:uid="{24601856-BD33-40E3-B786-A3DDF11536CA}">
      <formula1>$Q$84:$Q$87</formula1>
    </dataValidation>
  </dataValidations>
  <pageMargins left="0.7" right="0.7" top="0.75" bottom="0.75" header="0.3" footer="0.3"/>
  <pageSetup scale="80" fitToWidth="0" fitToHeight="0" orientation="portrait" r:id="rId1"/>
  <headerFooter>
    <oddFooter>&amp;L&amp;"Arial,Regular"PIA-NRCS&amp;R&amp;"Arial,Regular"October 2022</oddFooter>
  </headerFooter>
  <rowBreaks count="4" manualBreakCount="4">
    <brk id="82" max="13" man="1"/>
    <brk id="107" max="13" man="1"/>
    <brk id="123" max="13" man="1"/>
    <brk id="150" max="13" man="1"/>
  </rowBreaks>
  <colBreaks count="1" manualBreakCount="1">
    <brk id="14"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36964D-7877-45EE-ACE1-46F10825A8B4}">
          <x14:formula1>
            <xm:f>ForageGrowthCurves!$T$7:$T$27</xm:f>
          </x14:formula1>
          <xm:sqref>M30:N30</xm:sqref>
        </x14:dataValidation>
        <x14:dataValidation type="list" allowBlank="1" showInputMessage="1" showErrorMessage="1" xr:uid="{8A51FFF7-9157-4B75-B6F4-AD3A9AE31E53}">
          <x14:formula1>
            <xm:f>'Step 3. FA Balance'!$AW$4:$AW$11</xm:f>
          </x14:formula1>
          <xm:sqref>A66:D70 A76:D80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A1B6-9764-46E5-AB5D-950D3256F4DD}">
  <sheetPr codeName="Sheet23"/>
  <dimension ref="A1:AG31"/>
  <sheetViews>
    <sheetView view="pageLayout" zoomScaleNormal="100" workbookViewId="0">
      <selection activeCell="B53" sqref="B53:K53"/>
    </sheetView>
  </sheetViews>
  <sheetFormatPr baseColWidth="10" defaultColWidth="9" defaultRowHeight="12"/>
  <cols>
    <col min="1" max="2" width="5.1640625" style="1453" customWidth="1"/>
    <col min="3" max="33" width="3.33203125" style="1453" customWidth="1"/>
    <col min="34" max="16384" width="9" style="1453"/>
  </cols>
  <sheetData>
    <row r="1" spans="1:33" ht="24.75" customHeight="1">
      <c r="A1" s="2078" t="s">
        <v>2856</v>
      </c>
      <c r="B1" s="2078"/>
      <c r="C1" s="2078"/>
      <c r="D1" s="2078"/>
      <c r="E1" s="2078"/>
      <c r="F1" s="2078"/>
      <c r="G1" s="2078"/>
      <c r="H1" s="2078"/>
      <c r="I1" s="2078"/>
      <c r="J1" s="2078"/>
      <c r="K1" s="2078"/>
      <c r="L1" s="2078"/>
      <c r="M1" s="2078"/>
      <c r="N1" s="2078"/>
      <c r="O1" s="2078"/>
      <c r="P1" s="2078"/>
      <c r="Q1" s="2078"/>
      <c r="R1" s="2078"/>
      <c r="S1" s="2078"/>
      <c r="T1" s="2078"/>
      <c r="U1" s="2078"/>
      <c r="V1" s="2078"/>
      <c r="W1" s="2078"/>
      <c r="X1" s="2078"/>
      <c r="Y1" s="2078"/>
      <c r="Z1" s="2078"/>
      <c r="AA1" s="2078"/>
      <c r="AB1" s="2078"/>
      <c r="AC1" s="2078"/>
      <c r="AD1" s="2078"/>
      <c r="AE1" s="2078"/>
      <c r="AF1" s="2078"/>
      <c r="AG1" s="2078"/>
    </row>
    <row r="2" spans="1:33" ht="18" customHeight="1">
      <c r="A2" s="2076" t="s">
        <v>2855</v>
      </c>
      <c r="B2" s="2076"/>
      <c r="C2" s="2076"/>
      <c r="D2" s="2076"/>
      <c r="E2" s="2079"/>
      <c r="F2" s="2079"/>
      <c r="G2" s="2079"/>
      <c r="H2" s="2079"/>
      <c r="I2" s="2079"/>
      <c r="J2" s="2079"/>
      <c r="K2" s="2079"/>
      <c r="L2" s="2079"/>
      <c r="M2" s="2079"/>
      <c r="N2" s="2079"/>
      <c r="O2" s="2079"/>
      <c r="P2" s="2079"/>
      <c r="Q2" s="310"/>
      <c r="R2" s="2076" t="s">
        <v>2854</v>
      </c>
      <c r="S2" s="2076"/>
      <c r="T2" s="2076"/>
      <c r="U2" s="2079"/>
      <c r="V2" s="2079"/>
      <c r="W2" s="2079"/>
      <c r="X2" s="2079"/>
      <c r="Y2" s="2079"/>
      <c r="Z2" s="2079"/>
      <c r="AA2" s="2079"/>
      <c r="AB2" s="2079"/>
      <c r="AC2" s="2079"/>
      <c r="AD2" s="2079"/>
      <c r="AE2" s="2079"/>
      <c r="AF2" s="2079"/>
      <c r="AG2" s="2079"/>
    </row>
    <row r="3" spans="1:33" ht="18" customHeight="1">
      <c r="A3" s="2076" t="s">
        <v>2853</v>
      </c>
      <c r="B3" s="2076"/>
      <c r="C3" s="2076"/>
      <c r="D3" s="2076"/>
      <c r="E3" s="2076"/>
      <c r="F3" s="2076"/>
      <c r="G3" s="2076"/>
      <c r="H3" s="2076"/>
      <c r="I3" s="2076"/>
      <c r="J3" s="2076"/>
      <c r="K3" s="2076"/>
      <c r="L3" s="2076"/>
      <c r="M3" s="2076"/>
      <c r="N3" s="2076"/>
      <c r="O3" s="2076"/>
      <c r="P3" s="2076"/>
      <c r="Q3" s="310"/>
      <c r="R3" s="2076" t="s">
        <v>2852</v>
      </c>
      <c r="S3" s="2076"/>
      <c r="T3" s="2076"/>
      <c r="U3" s="2076"/>
      <c r="V3" s="2076"/>
      <c r="W3" s="2076"/>
      <c r="X3" s="2076"/>
      <c r="Y3" s="2076"/>
      <c r="Z3" s="2076"/>
      <c r="AA3" s="2076"/>
      <c r="AB3" s="2076"/>
      <c r="AC3" s="2076"/>
      <c r="AD3" s="2076"/>
      <c r="AE3" s="2076"/>
      <c r="AF3" s="2076"/>
      <c r="AG3" s="2076"/>
    </row>
    <row r="4" spans="1:33" ht="18" customHeight="1">
      <c r="A4" s="2077" t="s">
        <v>2851</v>
      </c>
      <c r="B4" s="2077"/>
      <c r="C4" s="2077"/>
      <c r="D4" s="2077"/>
      <c r="E4" s="2077"/>
      <c r="F4" s="2077"/>
      <c r="G4" s="2076" t="s">
        <v>63</v>
      </c>
      <c r="H4" s="2076"/>
      <c r="I4" s="2077" t="s">
        <v>2850</v>
      </c>
      <c r="J4" s="2077"/>
      <c r="K4" s="2077"/>
      <c r="L4" s="2077"/>
      <c r="M4" s="2077"/>
      <c r="N4" s="2077"/>
      <c r="O4" s="2076" t="s">
        <v>63</v>
      </c>
      <c r="P4" s="2076"/>
      <c r="Q4" s="310"/>
      <c r="R4" s="2073" t="s">
        <v>2689</v>
      </c>
      <c r="S4" s="2074"/>
      <c r="T4" s="2075"/>
      <c r="U4" s="2070" t="s">
        <v>2849</v>
      </c>
      <c r="V4" s="2071"/>
      <c r="W4" s="2071"/>
      <c r="X4" s="2071"/>
      <c r="Y4" s="2071"/>
      <c r="Z4" s="2071"/>
      <c r="AA4" s="2071"/>
      <c r="AB4" s="2071"/>
      <c r="AC4" s="2071"/>
      <c r="AD4" s="2071"/>
      <c r="AE4" s="2071"/>
      <c r="AF4" s="2071"/>
      <c r="AG4" s="2072"/>
    </row>
    <row r="5" spans="1:33" ht="18" customHeight="1">
      <c r="A5" s="2064"/>
      <c r="B5" s="2064"/>
      <c r="C5" s="2064"/>
      <c r="D5" s="2064"/>
      <c r="E5" s="2064"/>
      <c r="F5" s="2064"/>
      <c r="G5" s="2065"/>
      <c r="H5" s="2065"/>
      <c r="I5" s="2064"/>
      <c r="J5" s="2064"/>
      <c r="K5" s="2064"/>
      <c r="L5" s="2064"/>
      <c r="M5" s="2064"/>
      <c r="N5" s="2064"/>
      <c r="O5" s="2065"/>
      <c r="P5" s="2065"/>
      <c r="Q5" s="310"/>
      <c r="R5" s="2066"/>
      <c r="S5" s="2067"/>
      <c r="T5" s="2068"/>
      <c r="U5" s="2066"/>
      <c r="V5" s="2067"/>
      <c r="W5" s="2067"/>
      <c r="X5" s="2067"/>
      <c r="Y5" s="2067"/>
      <c r="Z5" s="2067"/>
      <c r="AA5" s="2067"/>
      <c r="AB5" s="2067"/>
      <c r="AC5" s="2067"/>
      <c r="AD5" s="2067"/>
      <c r="AE5" s="2067"/>
      <c r="AF5" s="2067"/>
      <c r="AG5" s="2068"/>
    </row>
    <row r="6" spans="1:33" ht="18" customHeight="1">
      <c r="A6" s="2064"/>
      <c r="B6" s="2064"/>
      <c r="C6" s="2064"/>
      <c r="D6" s="2064"/>
      <c r="E6" s="2064"/>
      <c r="F6" s="2064"/>
      <c r="G6" s="2065"/>
      <c r="H6" s="2065"/>
      <c r="I6" s="2064"/>
      <c r="J6" s="2064"/>
      <c r="K6" s="2064"/>
      <c r="L6" s="2064"/>
      <c r="M6" s="2064"/>
      <c r="N6" s="2064"/>
      <c r="O6" s="2065"/>
      <c r="P6" s="2065"/>
      <c r="Q6" s="310"/>
      <c r="R6" s="2066"/>
      <c r="S6" s="2067"/>
      <c r="T6" s="2068"/>
      <c r="U6" s="2066"/>
      <c r="V6" s="2067"/>
      <c r="W6" s="2067"/>
      <c r="X6" s="2067"/>
      <c r="Y6" s="2067"/>
      <c r="Z6" s="2067"/>
      <c r="AA6" s="2067"/>
      <c r="AB6" s="2067"/>
      <c r="AC6" s="2067"/>
      <c r="AD6" s="2067"/>
      <c r="AE6" s="2067"/>
      <c r="AF6" s="2067"/>
      <c r="AG6" s="2068"/>
    </row>
    <row r="7" spans="1:33" ht="18" customHeight="1">
      <c r="A7" s="2064"/>
      <c r="B7" s="2064"/>
      <c r="C7" s="2064"/>
      <c r="D7" s="2064"/>
      <c r="E7" s="2064"/>
      <c r="F7" s="2064"/>
      <c r="G7" s="2065"/>
      <c r="H7" s="2065"/>
      <c r="I7" s="2064"/>
      <c r="J7" s="2064"/>
      <c r="K7" s="2064"/>
      <c r="L7" s="2064"/>
      <c r="M7" s="2064"/>
      <c r="N7" s="2064"/>
      <c r="O7" s="2065"/>
      <c r="P7" s="2065"/>
      <c r="Q7" s="310"/>
      <c r="R7" s="2066"/>
      <c r="S7" s="2067"/>
      <c r="T7" s="2068"/>
      <c r="U7" s="2066"/>
      <c r="V7" s="2067"/>
      <c r="W7" s="2067"/>
      <c r="X7" s="2067"/>
      <c r="Y7" s="2067"/>
      <c r="Z7" s="2067"/>
      <c r="AA7" s="2067"/>
      <c r="AB7" s="2067"/>
      <c r="AC7" s="2067"/>
      <c r="AD7" s="2067"/>
      <c r="AE7" s="2067"/>
      <c r="AF7" s="2067"/>
      <c r="AG7" s="2068"/>
    </row>
    <row r="8" spans="1:33" ht="18" customHeight="1">
      <c r="A8" s="2064"/>
      <c r="B8" s="2064"/>
      <c r="C8" s="2064"/>
      <c r="D8" s="2064"/>
      <c r="E8" s="2064"/>
      <c r="F8" s="2064"/>
      <c r="G8" s="2065"/>
      <c r="H8" s="2065"/>
      <c r="I8" s="2064"/>
      <c r="J8" s="2064"/>
      <c r="K8" s="2064"/>
      <c r="L8" s="2064"/>
      <c r="M8" s="2064"/>
      <c r="N8" s="2064"/>
      <c r="O8" s="2065"/>
      <c r="P8" s="2065"/>
      <c r="Q8" s="310"/>
      <c r="R8" s="2066"/>
      <c r="S8" s="2067"/>
      <c r="T8" s="2068"/>
      <c r="U8" s="2066"/>
      <c r="V8" s="2067"/>
      <c r="W8" s="2067"/>
      <c r="X8" s="2067"/>
      <c r="Y8" s="2067"/>
      <c r="Z8" s="2067"/>
      <c r="AA8" s="2067"/>
      <c r="AB8" s="2067"/>
      <c r="AC8" s="2067"/>
      <c r="AD8" s="2067"/>
      <c r="AE8" s="2067"/>
      <c r="AF8" s="2067"/>
      <c r="AG8" s="2068"/>
    </row>
    <row r="9" spans="1:33" ht="18" customHeight="1">
      <c r="A9" s="2064"/>
      <c r="B9" s="2064"/>
      <c r="C9" s="2064"/>
      <c r="D9" s="2064"/>
      <c r="E9" s="2064"/>
      <c r="F9" s="2064"/>
      <c r="G9" s="2065"/>
      <c r="H9" s="2065"/>
      <c r="I9" s="2064"/>
      <c r="J9" s="2064"/>
      <c r="K9" s="2064"/>
      <c r="L9" s="2064"/>
      <c r="M9" s="2064"/>
      <c r="N9" s="2064"/>
      <c r="O9" s="2065"/>
      <c r="P9" s="2065"/>
      <c r="Q9" s="310"/>
      <c r="R9" s="2066"/>
      <c r="S9" s="2067"/>
      <c r="T9" s="2068"/>
      <c r="U9" s="2066"/>
      <c r="V9" s="2067"/>
      <c r="W9" s="2067"/>
      <c r="X9" s="2067"/>
      <c r="Y9" s="2067"/>
      <c r="Z9" s="2067"/>
      <c r="AA9" s="2067"/>
      <c r="AB9" s="2067"/>
      <c r="AC9" s="2067"/>
      <c r="AD9" s="2067"/>
      <c r="AE9" s="2067"/>
      <c r="AF9" s="2067"/>
      <c r="AG9" s="2068"/>
    </row>
    <row r="10" spans="1:33" ht="18" customHeight="1">
      <c r="A10" s="2064"/>
      <c r="B10" s="2064"/>
      <c r="C10" s="2064"/>
      <c r="D10" s="2064"/>
      <c r="E10" s="2064"/>
      <c r="F10" s="2064"/>
      <c r="G10" s="2065"/>
      <c r="H10" s="2065"/>
      <c r="I10" s="2064"/>
      <c r="J10" s="2064"/>
      <c r="K10" s="2064"/>
      <c r="L10" s="2064"/>
      <c r="M10" s="2064"/>
      <c r="N10" s="2064"/>
      <c r="O10" s="2065"/>
      <c r="P10" s="2065"/>
      <c r="Q10" s="310"/>
      <c r="R10" s="2066"/>
      <c r="S10" s="2067"/>
      <c r="T10" s="2068"/>
      <c r="U10" s="2066"/>
      <c r="V10" s="2067"/>
      <c r="W10" s="2067"/>
      <c r="X10" s="2067"/>
      <c r="Y10" s="2067"/>
      <c r="Z10" s="2067"/>
      <c r="AA10" s="2067"/>
      <c r="AB10" s="2067"/>
      <c r="AC10" s="2067"/>
      <c r="AD10" s="2067"/>
      <c r="AE10" s="2067"/>
      <c r="AF10" s="2067"/>
      <c r="AG10" s="2068"/>
    </row>
    <row r="11" spans="1:33" ht="18" customHeight="1">
      <c r="A11" s="2064"/>
      <c r="B11" s="2064"/>
      <c r="C11" s="2064"/>
      <c r="D11" s="2064"/>
      <c r="E11" s="2064"/>
      <c r="F11" s="2064"/>
      <c r="G11" s="2065"/>
      <c r="H11" s="2065"/>
      <c r="I11" s="2064"/>
      <c r="J11" s="2064"/>
      <c r="K11" s="2064"/>
      <c r="L11" s="2064"/>
      <c r="M11" s="2064"/>
      <c r="N11" s="2064"/>
      <c r="O11" s="2065"/>
      <c r="P11" s="2065"/>
      <c r="Q11" s="310"/>
      <c r="R11" s="2066"/>
      <c r="S11" s="2067"/>
      <c r="T11" s="2068"/>
      <c r="U11" s="2066"/>
      <c r="V11" s="2067"/>
      <c r="W11" s="2067"/>
      <c r="X11" s="2067"/>
      <c r="Y11" s="2067"/>
      <c r="Z11" s="2067"/>
      <c r="AA11" s="2067"/>
      <c r="AB11" s="2067"/>
      <c r="AC11" s="2067"/>
      <c r="AD11" s="2067"/>
      <c r="AE11" s="2067"/>
      <c r="AF11" s="2067"/>
      <c r="AG11" s="2068"/>
    </row>
    <row r="12" spans="1:33" ht="18" customHeight="1">
      <c r="A12" s="2064"/>
      <c r="B12" s="2064"/>
      <c r="C12" s="2064"/>
      <c r="D12" s="2064"/>
      <c r="E12" s="2064"/>
      <c r="F12" s="2064"/>
      <c r="G12" s="2065"/>
      <c r="H12" s="2065"/>
      <c r="I12" s="2064"/>
      <c r="J12" s="2064"/>
      <c r="K12" s="2064"/>
      <c r="L12" s="2064"/>
      <c r="M12" s="2064"/>
      <c r="N12" s="2064"/>
      <c r="O12" s="2065"/>
      <c r="P12" s="2065"/>
      <c r="Q12" s="310"/>
      <c r="R12" s="2066"/>
      <c r="S12" s="2067"/>
      <c r="T12" s="2068"/>
      <c r="U12" s="2066"/>
      <c r="V12" s="2067"/>
      <c r="W12" s="2067"/>
      <c r="X12" s="2067"/>
      <c r="Y12" s="2067"/>
      <c r="Z12" s="2067"/>
      <c r="AA12" s="2067"/>
      <c r="AB12" s="2067"/>
      <c r="AC12" s="2067"/>
      <c r="AD12" s="2067"/>
      <c r="AE12" s="2067"/>
      <c r="AF12" s="2067"/>
      <c r="AG12" s="2068"/>
    </row>
    <row r="13" spans="1:33" ht="18" customHeight="1">
      <c r="A13" s="2064"/>
      <c r="B13" s="2064"/>
      <c r="C13" s="2064"/>
      <c r="D13" s="2064"/>
      <c r="E13" s="2064"/>
      <c r="F13" s="2064"/>
      <c r="G13" s="2065"/>
      <c r="H13" s="2065"/>
      <c r="I13" s="2064"/>
      <c r="J13" s="2064"/>
      <c r="K13" s="2064"/>
      <c r="L13" s="2064"/>
      <c r="M13" s="2064"/>
      <c r="N13" s="2064"/>
      <c r="O13" s="2065"/>
      <c r="P13" s="2065"/>
      <c r="Q13" s="310"/>
      <c r="R13" s="2066"/>
      <c r="S13" s="2067"/>
      <c r="T13" s="2068"/>
      <c r="U13" s="2066"/>
      <c r="V13" s="2067"/>
      <c r="W13" s="2067"/>
      <c r="X13" s="2067"/>
      <c r="Y13" s="2067"/>
      <c r="Z13" s="2067"/>
      <c r="AA13" s="2067"/>
      <c r="AB13" s="2067"/>
      <c r="AC13" s="2067"/>
      <c r="AD13" s="2067"/>
      <c r="AE13" s="2067"/>
      <c r="AF13" s="2067"/>
      <c r="AG13" s="2068"/>
    </row>
    <row r="14" spans="1:33">
      <c r="A14" s="1716"/>
      <c r="B14" s="1716"/>
      <c r="C14" s="1716"/>
      <c r="D14" s="1716"/>
      <c r="E14" s="1716"/>
      <c r="F14" s="1716"/>
      <c r="G14" s="1716"/>
      <c r="H14" s="1716"/>
      <c r="I14" s="1716"/>
      <c r="J14" s="1716"/>
      <c r="K14" s="1716"/>
      <c r="L14" s="1716"/>
      <c r="M14" s="1716"/>
      <c r="N14" s="1716"/>
      <c r="O14" s="1716"/>
      <c r="P14" s="1716"/>
      <c r="Q14" s="1716"/>
      <c r="R14" s="1716"/>
      <c r="S14" s="1716"/>
      <c r="T14" s="1716"/>
      <c r="U14" s="1716"/>
      <c r="V14" s="1716"/>
      <c r="W14" s="1716"/>
      <c r="X14" s="1716"/>
      <c r="Y14" s="1716"/>
      <c r="Z14" s="1716"/>
      <c r="AA14" s="1716"/>
      <c r="AB14" s="1716"/>
      <c r="AC14" s="1716"/>
      <c r="AD14" s="1716"/>
      <c r="AE14" s="1716"/>
      <c r="AF14" s="1716"/>
      <c r="AG14" s="1716"/>
    </row>
    <row r="15" spans="1:33" ht="16">
      <c r="A15" s="2069" t="s">
        <v>2848</v>
      </c>
      <c r="B15" s="2069"/>
      <c r="C15" s="2069"/>
      <c r="D15" s="2069"/>
      <c r="E15" s="2069"/>
      <c r="F15" s="2069"/>
      <c r="G15" s="2069"/>
      <c r="H15" s="2069"/>
      <c r="I15" s="2069"/>
      <c r="J15" s="2069"/>
      <c r="K15" s="2069"/>
      <c r="L15" s="2069"/>
      <c r="M15" s="2069"/>
      <c r="N15" s="2069"/>
      <c r="O15" s="2069"/>
      <c r="P15" s="2069"/>
      <c r="Q15" s="2069"/>
      <c r="R15" s="2069"/>
      <c r="S15" s="2069"/>
      <c r="T15" s="2069"/>
      <c r="U15" s="2069"/>
      <c r="V15" s="2069"/>
      <c r="W15" s="2069"/>
      <c r="X15" s="2069"/>
      <c r="Y15" s="2069"/>
      <c r="Z15" s="2069"/>
      <c r="AA15" s="2069"/>
      <c r="AB15" s="2069"/>
      <c r="AC15" s="2069"/>
      <c r="AD15" s="2069"/>
      <c r="AE15" s="2069"/>
      <c r="AF15" s="2069"/>
      <c r="AG15" s="2069"/>
    </row>
    <row r="16" spans="1:33" ht="12.75" customHeight="1">
      <c r="A16" s="2080" t="s">
        <v>2847</v>
      </c>
      <c r="B16" s="2082" t="s">
        <v>449</v>
      </c>
      <c r="C16" s="2081" t="s">
        <v>2846</v>
      </c>
      <c r="D16" s="2081"/>
      <c r="E16" s="2081"/>
      <c r="F16" s="2081"/>
      <c r="G16" s="2081"/>
      <c r="H16" s="2081"/>
      <c r="I16" s="2081"/>
      <c r="J16" s="2081"/>
      <c r="K16" s="2081"/>
      <c r="L16" s="2081"/>
      <c r="M16" s="2081"/>
      <c r="N16" s="2081"/>
      <c r="O16" s="2081"/>
      <c r="P16" s="2081"/>
      <c r="Q16" s="2081"/>
      <c r="R16" s="2081"/>
      <c r="S16" s="2081"/>
      <c r="T16" s="2081"/>
      <c r="U16" s="2081"/>
      <c r="V16" s="2081"/>
      <c r="W16" s="2081"/>
      <c r="X16" s="2081"/>
      <c r="Y16" s="2081"/>
      <c r="Z16" s="2081"/>
      <c r="AA16" s="2081"/>
      <c r="AB16" s="2081"/>
      <c r="AC16" s="2081"/>
      <c r="AD16" s="2081"/>
      <c r="AE16" s="2081"/>
      <c r="AF16" s="2081"/>
      <c r="AG16" s="2081"/>
    </row>
    <row r="17" spans="1:33">
      <c r="A17" s="2080"/>
      <c r="B17" s="2082"/>
      <c r="C17" s="1717">
        <v>1</v>
      </c>
      <c r="D17" s="1717">
        <v>2</v>
      </c>
      <c r="E17" s="1717">
        <v>3</v>
      </c>
      <c r="F17" s="1717">
        <v>4</v>
      </c>
      <c r="G17" s="1717">
        <v>5</v>
      </c>
      <c r="H17" s="1717">
        <v>6</v>
      </c>
      <c r="I17" s="1717">
        <v>7</v>
      </c>
      <c r="J17" s="1717">
        <v>8</v>
      </c>
      <c r="K17" s="1717">
        <v>9</v>
      </c>
      <c r="L17" s="1717">
        <v>10</v>
      </c>
      <c r="M17" s="1717">
        <v>11</v>
      </c>
      <c r="N17" s="1717">
        <v>12</v>
      </c>
      <c r="O17" s="1717">
        <v>13</v>
      </c>
      <c r="P17" s="1717">
        <v>14</v>
      </c>
      <c r="Q17" s="1717">
        <v>15</v>
      </c>
      <c r="R17" s="1717">
        <v>16</v>
      </c>
      <c r="S17" s="1717">
        <v>17</v>
      </c>
      <c r="T17" s="1717">
        <v>18</v>
      </c>
      <c r="U17" s="1717">
        <v>19</v>
      </c>
      <c r="V17" s="1717">
        <v>20</v>
      </c>
      <c r="W17" s="1717">
        <v>21</v>
      </c>
      <c r="X17" s="1717">
        <v>22</v>
      </c>
      <c r="Y17" s="1717">
        <v>23</v>
      </c>
      <c r="Z17" s="1717">
        <v>24</v>
      </c>
      <c r="AA17" s="1717">
        <v>25</v>
      </c>
      <c r="AB17" s="1717">
        <v>26</v>
      </c>
      <c r="AC17" s="1717">
        <v>27</v>
      </c>
      <c r="AD17" s="1717">
        <v>28</v>
      </c>
      <c r="AE17" s="1717">
        <v>29</v>
      </c>
      <c r="AF17" s="1717">
        <v>30</v>
      </c>
      <c r="AG17" s="1717">
        <v>31</v>
      </c>
    </row>
    <row r="18" spans="1:33" ht="18" customHeight="1">
      <c r="A18" s="1718"/>
      <c r="B18" s="1718" t="s">
        <v>276</v>
      </c>
      <c r="C18" s="1718"/>
      <c r="D18" s="1718"/>
      <c r="E18" s="1718"/>
      <c r="F18" s="1718"/>
      <c r="G18" s="1718"/>
      <c r="H18" s="1718"/>
      <c r="I18" s="1718"/>
      <c r="J18" s="1718"/>
      <c r="K18" s="1718"/>
      <c r="L18" s="1718"/>
      <c r="M18" s="1718"/>
      <c r="N18" s="1718"/>
      <c r="O18" s="1718"/>
      <c r="P18" s="1718"/>
      <c r="Q18" s="1718"/>
      <c r="R18" s="1718"/>
      <c r="S18" s="1718"/>
      <c r="T18" s="1718"/>
      <c r="U18" s="1718"/>
      <c r="V18" s="1718"/>
      <c r="W18" s="1718"/>
      <c r="X18" s="1718"/>
      <c r="Y18" s="1718"/>
      <c r="Z18" s="1718"/>
      <c r="AA18" s="1718"/>
      <c r="AB18" s="1718"/>
      <c r="AC18" s="1718"/>
      <c r="AD18" s="1718"/>
      <c r="AE18" s="1718"/>
      <c r="AF18" s="1718"/>
      <c r="AG18" s="1718"/>
    </row>
    <row r="19" spans="1:33" ht="18" customHeight="1">
      <c r="A19" s="1718"/>
      <c r="B19" s="1718" t="s">
        <v>277</v>
      </c>
      <c r="C19" s="1718"/>
      <c r="D19" s="1718"/>
      <c r="E19" s="1718"/>
      <c r="F19" s="1718"/>
      <c r="G19" s="1718"/>
      <c r="H19" s="1718"/>
      <c r="I19" s="1718"/>
      <c r="J19" s="1718"/>
      <c r="K19" s="1718"/>
      <c r="L19" s="1718"/>
      <c r="M19" s="1718"/>
      <c r="N19" s="1718"/>
      <c r="O19" s="1718"/>
      <c r="P19" s="1718"/>
      <c r="Q19" s="1718"/>
      <c r="R19" s="1718"/>
      <c r="S19" s="1718"/>
      <c r="T19" s="1718"/>
      <c r="U19" s="1718"/>
      <c r="V19" s="1718"/>
      <c r="W19" s="1718"/>
      <c r="X19" s="1718"/>
      <c r="Y19" s="1718"/>
      <c r="Z19" s="1718"/>
      <c r="AA19" s="1718"/>
      <c r="AB19" s="1718"/>
      <c r="AC19" s="1718"/>
      <c r="AD19" s="1718"/>
      <c r="AE19" s="1719"/>
      <c r="AF19" s="1719"/>
      <c r="AG19" s="1719"/>
    </row>
    <row r="20" spans="1:33" ht="18" customHeight="1">
      <c r="A20" s="1718"/>
      <c r="B20" s="1718" t="s">
        <v>88</v>
      </c>
      <c r="C20" s="1718"/>
      <c r="D20" s="1718"/>
      <c r="E20" s="1718"/>
      <c r="F20" s="1718"/>
      <c r="G20" s="1718"/>
      <c r="H20" s="1718"/>
      <c r="I20" s="1718"/>
      <c r="J20" s="1718"/>
      <c r="K20" s="1718"/>
      <c r="L20" s="1718"/>
      <c r="M20" s="1718"/>
      <c r="N20" s="1718"/>
      <c r="O20" s="1718"/>
      <c r="P20" s="1718"/>
      <c r="Q20" s="1718"/>
      <c r="R20" s="1718"/>
      <c r="S20" s="1718"/>
      <c r="T20" s="1718"/>
      <c r="U20" s="1718"/>
      <c r="V20" s="1718"/>
      <c r="W20" s="1718"/>
      <c r="X20" s="1718"/>
      <c r="Y20" s="1718"/>
      <c r="Z20" s="1718"/>
      <c r="AA20" s="1718"/>
      <c r="AB20" s="1718"/>
      <c r="AC20" s="1718"/>
      <c r="AD20" s="1718"/>
      <c r="AE20" s="1718"/>
      <c r="AF20" s="1718"/>
      <c r="AG20" s="1718"/>
    </row>
    <row r="21" spans="1:33" ht="18" customHeight="1">
      <c r="A21" s="1718"/>
      <c r="B21" s="1718" t="s">
        <v>89</v>
      </c>
      <c r="C21" s="1718"/>
      <c r="D21" s="1718"/>
      <c r="E21" s="1718"/>
      <c r="F21" s="1718"/>
      <c r="G21" s="1718"/>
      <c r="H21" s="1718"/>
      <c r="I21" s="1718"/>
      <c r="J21" s="1718"/>
      <c r="K21" s="1718"/>
      <c r="L21" s="1718"/>
      <c r="M21" s="1718"/>
      <c r="N21" s="1718"/>
      <c r="O21" s="1718"/>
      <c r="P21" s="1718"/>
      <c r="Q21" s="1718"/>
      <c r="R21" s="1718"/>
      <c r="S21" s="1718"/>
      <c r="T21" s="1718"/>
      <c r="U21" s="1718"/>
      <c r="V21" s="1718"/>
      <c r="W21" s="1718"/>
      <c r="X21" s="1718"/>
      <c r="Y21" s="1718"/>
      <c r="Z21" s="1718"/>
      <c r="AA21" s="1718"/>
      <c r="AB21" s="1718"/>
      <c r="AC21" s="1718"/>
      <c r="AD21" s="1718"/>
      <c r="AE21" s="1718"/>
      <c r="AF21" s="1718"/>
      <c r="AG21" s="1719"/>
    </row>
    <row r="22" spans="1:33" ht="18" customHeight="1">
      <c r="A22" s="1718"/>
      <c r="B22" s="1718" t="s">
        <v>39</v>
      </c>
      <c r="C22" s="1718"/>
      <c r="D22" s="1718"/>
      <c r="E22" s="1718"/>
      <c r="F22" s="1718"/>
      <c r="G22" s="1718"/>
      <c r="H22" s="1718"/>
      <c r="I22" s="1718"/>
      <c r="J22" s="1718"/>
      <c r="K22" s="1718"/>
      <c r="L22" s="1718"/>
      <c r="M22" s="1718"/>
      <c r="N22" s="1718"/>
      <c r="O22" s="1718"/>
      <c r="P22" s="1718"/>
      <c r="Q22" s="1718"/>
      <c r="R22" s="1718"/>
      <c r="S22" s="1718"/>
      <c r="T22" s="1718"/>
      <c r="U22" s="1718"/>
      <c r="V22" s="1718"/>
      <c r="W22" s="1718"/>
      <c r="X22" s="1718"/>
      <c r="Y22" s="1718"/>
      <c r="Z22" s="1718"/>
      <c r="AA22" s="1718"/>
      <c r="AB22" s="1718"/>
      <c r="AC22" s="1718"/>
      <c r="AD22" s="1718"/>
      <c r="AE22" s="1718"/>
      <c r="AF22" s="1718"/>
      <c r="AG22" s="1718"/>
    </row>
    <row r="23" spans="1:33" ht="18" customHeight="1">
      <c r="A23" s="1718"/>
      <c r="B23" s="1718" t="s">
        <v>90</v>
      </c>
      <c r="C23" s="1718"/>
      <c r="D23" s="1718"/>
      <c r="E23" s="1718"/>
      <c r="F23" s="1718"/>
      <c r="G23" s="1718"/>
      <c r="H23" s="1718"/>
      <c r="I23" s="1718"/>
      <c r="J23" s="1718"/>
      <c r="K23" s="1718"/>
      <c r="L23" s="1718"/>
      <c r="M23" s="1718"/>
      <c r="N23" s="1718"/>
      <c r="O23" s="1718"/>
      <c r="P23" s="1718"/>
      <c r="Q23" s="1718"/>
      <c r="R23" s="1718"/>
      <c r="S23" s="1718"/>
      <c r="T23" s="1718"/>
      <c r="U23" s="1718"/>
      <c r="V23" s="1718"/>
      <c r="W23" s="1718"/>
      <c r="X23" s="1718"/>
      <c r="Y23" s="1718"/>
      <c r="Z23" s="1718"/>
      <c r="AA23" s="1718"/>
      <c r="AB23" s="1718"/>
      <c r="AC23" s="1718"/>
      <c r="AD23" s="1718"/>
      <c r="AE23" s="1718"/>
      <c r="AF23" s="1718"/>
      <c r="AG23" s="1719"/>
    </row>
    <row r="24" spans="1:33" ht="18" customHeight="1">
      <c r="A24" s="1718"/>
      <c r="B24" s="1718" t="s">
        <v>91</v>
      </c>
      <c r="C24" s="1718"/>
      <c r="D24" s="1718"/>
      <c r="E24" s="1718"/>
      <c r="F24" s="1718"/>
      <c r="G24" s="1718"/>
      <c r="H24" s="1718"/>
      <c r="I24" s="1718"/>
      <c r="J24" s="1718"/>
      <c r="K24" s="1718"/>
      <c r="L24" s="1718"/>
      <c r="M24" s="1718"/>
      <c r="N24" s="1718"/>
      <c r="O24" s="1718"/>
      <c r="P24" s="1718"/>
      <c r="Q24" s="1718"/>
      <c r="R24" s="1718"/>
      <c r="S24" s="1718"/>
      <c r="T24" s="1718"/>
      <c r="U24" s="1718"/>
      <c r="V24" s="1718"/>
      <c r="W24" s="1718"/>
      <c r="X24" s="1718"/>
      <c r="Y24" s="1718"/>
      <c r="Z24" s="1718"/>
      <c r="AA24" s="1718"/>
      <c r="AB24" s="1718"/>
      <c r="AC24" s="1718"/>
      <c r="AD24" s="1718"/>
      <c r="AE24" s="1718"/>
      <c r="AF24" s="1718"/>
      <c r="AG24" s="1718"/>
    </row>
    <row r="25" spans="1:33" ht="18" customHeight="1">
      <c r="A25" s="1718"/>
      <c r="B25" s="1718" t="s">
        <v>92</v>
      </c>
      <c r="C25" s="1718"/>
      <c r="D25" s="1718"/>
      <c r="E25" s="1718"/>
      <c r="F25" s="1718"/>
      <c r="G25" s="1718"/>
      <c r="H25" s="1718"/>
      <c r="I25" s="1718"/>
      <c r="J25" s="1718"/>
      <c r="K25" s="1718"/>
      <c r="L25" s="1718"/>
      <c r="M25" s="1718"/>
      <c r="N25" s="1718"/>
      <c r="O25" s="1718"/>
      <c r="P25" s="1718"/>
      <c r="Q25" s="1718"/>
      <c r="R25" s="1718"/>
      <c r="S25" s="1718"/>
      <c r="T25" s="1718"/>
      <c r="U25" s="1718"/>
      <c r="V25" s="1718"/>
      <c r="W25" s="1718"/>
      <c r="X25" s="1718"/>
      <c r="Y25" s="1718"/>
      <c r="Z25" s="1718"/>
      <c r="AA25" s="1718"/>
      <c r="AB25" s="1718"/>
      <c r="AC25" s="1718"/>
      <c r="AD25" s="1718"/>
      <c r="AE25" s="1718"/>
      <c r="AF25" s="1718"/>
      <c r="AG25" s="1718"/>
    </row>
    <row r="26" spans="1:33" ht="18" customHeight="1">
      <c r="A26" s="1718"/>
      <c r="B26" s="1718" t="s">
        <v>93</v>
      </c>
      <c r="C26" s="1718"/>
      <c r="D26" s="1718"/>
      <c r="E26" s="1718"/>
      <c r="F26" s="1718"/>
      <c r="G26" s="1718"/>
      <c r="H26" s="1718"/>
      <c r="I26" s="1718"/>
      <c r="J26" s="1718"/>
      <c r="K26" s="1718"/>
      <c r="L26" s="1718"/>
      <c r="M26" s="1718"/>
      <c r="N26" s="1718"/>
      <c r="O26" s="1718"/>
      <c r="P26" s="1718"/>
      <c r="Q26" s="1718"/>
      <c r="R26" s="1718"/>
      <c r="S26" s="1718"/>
      <c r="T26" s="1718"/>
      <c r="U26" s="1718"/>
      <c r="V26" s="1718"/>
      <c r="W26" s="1718"/>
      <c r="X26" s="1718"/>
      <c r="Y26" s="1718"/>
      <c r="Z26" s="1718"/>
      <c r="AA26" s="1718"/>
      <c r="AB26" s="1718"/>
      <c r="AC26" s="1718"/>
      <c r="AD26" s="1718"/>
      <c r="AE26" s="1718"/>
      <c r="AF26" s="1718"/>
      <c r="AG26" s="1719"/>
    </row>
    <row r="27" spans="1:33" ht="18" customHeight="1">
      <c r="A27" s="1718"/>
      <c r="B27" s="1718" t="s">
        <v>94</v>
      </c>
      <c r="C27" s="1718"/>
      <c r="D27" s="1718"/>
      <c r="E27" s="1718"/>
      <c r="F27" s="1718"/>
      <c r="G27" s="1718"/>
      <c r="H27" s="1718"/>
      <c r="I27" s="1718"/>
      <c r="J27" s="1718"/>
      <c r="K27" s="1718"/>
      <c r="L27" s="1718"/>
      <c r="M27" s="1718"/>
      <c r="N27" s="1718"/>
      <c r="O27" s="1718"/>
      <c r="P27" s="1718"/>
      <c r="Q27" s="1718"/>
      <c r="R27" s="1718"/>
      <c r="S27" s="1718"/>
      <c r="T27" s="1718"/>
      <c r="U27" s="1718"/>
      <c r="V27" s="1718"/>
      <c r="W27" s="1718"/>
      <c r="X27" s="1718"/>
      <c r="Y27" s="1718"/>
      <c r="Z27" s="1718"/>
      <c r="AA27" s="1718"/>
      <c r="AB27" s="1718"/>
      <c r="AC27" s="1718"/>
      <c r="AD27" s="1718"/>
      <c r="AE27" s="1718"/>
      <c r="AF27" s="1718"/>
      <c r="AG27" s="1718"/>
    </row>
    <row r="28" spans="1:33" ht="18" customHeight="1">
      <c r="A28" s="1718"/>
      <c r="B28" s="1718" t="s">
        <v>95</v>
      </c>
      <c r="C28" s="1718"/>
      <c r="D28" s="1718"/>
      <c r="E28" s="1718"/>
      <c r="F28" s="1718"/>
      <c r="G28" s="1718"/>
      <c r="H28" s="1718"/>
      <c r="I28" s="1718"/>
      <c r="J28" s="1718"/>
      <c r="K28" s="1718"/>
      <c r="L28" s="1718"/>
      <c r="M28" s="1718"/>
      <c r="N28" s="1718"/>
      <c r="O28" s="1718"/>
      <c r="P28" s="1718"/>
      <c r="Q28" s="1718"/>
      <c r="R28" s="1718"/>
      <c r="S28" s="1718"/>
      <c r="T28" s="1718"/>
      <c r="U28" s="1718"/>
      <c r="V28" s="1718"/>
      <c r="W28" s="1718"/>
      <c r="X28" s="1718"/>
      <c r="Y28" s="1718"/>
      <c r="Z28" s="1718"/>
      <c r="AA28" s="1718"/>
      <c r="AB28" s="1718"/>
      <c r="AC28" s="1718"/>
      <c r="AD28" s="1718"/>
      <c r="AE28" s="1718"/>
      <c r="AF28" s="1718"/>
      <c r="AG28" s="1719"/>
    </row>
    <row r="29" spans="1:33" ht="18" customHeight="1">
      <c r="A29" s="1718"/>
      <c r="B29" s="1718" t="s">
        <v>96</v>
      </c>
      <c r="C29" s="1718"/>
      <c r="D29" s="1718"/>
      <c r="E29" s="1718"/>
      <c r="F29" s="1718"/>
      <c r="G29" s="1718"/>
      <c r="H29" s="1718"/>
      <c r="I29" s="1718"/>
      <c r="J29" s="1718"/>
      <c r="K29" s="1718"/>
      <c r="L29" s="1718"/>
      <c r="M29" s="1718"/>
      <c r="N29" s="1718"/>
      <c r="O29" s="1718"/>
      <c r="P29" s="1718"/>
      <c r="Q29" s="1718"/>
      <c r="R29" s="1718"/>
      <c r="S29" s="1718"/>
      <c r="T29" s="1718"/>
      <c r="U29" s="1718"/>
      <c r="V29" s="1718"/>
      <c r="W29" s="1718"/>
      <c r="X29" s="1718"/>
      <c r="Y29" s="1718"/>
      <c r="Z29" s="1718"/>
      <c r="AA29" s="1718"/>
      <c r="AB29" s="1718"/>
      <c r="AC29" s="1718"/>
      <c r="AD29" s="1718"/>
      <c r="AE29" s="1718"/>
      <c r="AF29" s="1718"/>
      <c r="AG29" s="1718"/>
    </row>
    <row r="30" spans="1:33">
      <c r="A30" s="1716" t="s">
        <v>2845</v>
      </c>
      <c r="B30" s="1716"/>
      <c r="C30" s="1716"/>
      <c r="D30" s="1716"/>
      <c r="E30" s="1716"/>
      <c r="F30" s="1716"/>
      <c r="G30" s="1716"/>
      <c r="H30" s="1716"/>
      <c r="I30" s="1716"/>
      <c r="J30" s="1716"/>
      <c r="K30" s="1716"/>
      <c r="L30" s="1716"/>
      <c r="M30" s="1716"/>
      <c r="N30" s="1716"/>
      <c r="O30" s="1716"/>
      <c r="P30" s="1716"/>
      <c r="Q30" s="1716"/>
      <c r="R30" s="1716"/>
      <c r="S30" s="1716"/>
      <c r="T30" s="1716"/>
      <c r="U30" s="1716"/>
      <c r="V30" s="1716"/>
      <c r="W30" s="1716"/>
      <c r="X30" s="1716"/>
      <c r="Y30" s="1716"/>
      <c r="Z30" s="1716"/>
      <c r="AA30" s="1716"/>
      <c r="AB30" s="1716"/>
      <c r="AC30" s="1716"/>
      <c r="AD30" s="1716"/>
      <c r="AE30" s="1716"/>
      <c r="AF30" s="1716"/>
      <c r="AG30" s="1716"/>
    </row>
    <row r="31" spans="1:33">
      <c r="A31" s="1716"/>
      <c r="B31" s="1716"/>
      <c r="C31" s="1716"/>
      <c r="D31" s="1716"/>
      <c r="E31" s="1716"/>
      <c r="F31" s="1716"/>
      <c r="G31" s="1716"/>
      <c r="H31" s="1716"/>
      <c r="I31" s="1716"/>
      <c r="J31" s="1716"/>
      <c r="K31" s="1716"/>
      <c r="L31" s="1716"/>
      <c r="M31" s="1716"/>
      <c r="N31" s="1716"/>
      <c r="O31" s="1716"/>
      <c r="P31" s="1716"/>
      <c r="Q31" s="1716"/>
      <c r="R31" s="1716"/>
      <c r="S31" s="1716"/>
      <c r="T31" s="1716"/>
      <c r="U31" s="1716"/>
      <c r="V31" s="1716"/>
      <c r="W31" s="1716"/>
      <c r="X31" s="1716"/>
      <c r="Y31" s="1716"/>
      <c r="Z31" s="1716"/>
      <c r="AA31" s="1716"/>
      <c r="AB31" s="1716"/>
      <c r="AC31" s="1716"/>
      <c r="AD31" s="1716"/>
      <c r="AE31" s="1716"/>
      <c r="AF31" s="1716"/>
      <c r="AG31" s="1716"/>
    </row>
  </sheetData>
  <mergeCells count="71">
    <mergeCell ref="A16:A17"/>
    <mergeCell ref="C16:AG16"/>
    <mergeCell ref="B16:B17"/>
    <mergeCell ref="A6:F6"/>
    <mergeCell ref="G6:H6"/>
    <mergeCell ref="A7:F7"/>
    <mergeCell ref="G12:H12"/>
    <mergeCell ref="G13:H13"/>
    <mergeCell ref="R7:T7"/>
    <mergeCell ref="G8:H8"/>
    <mergeCell ref="A9:F9"/>
    <mergeCell ref="R8:T8"/>
    <mergeCell ref="I7:N7"/>
    <mergeCell ref="O7:P7"/>
    <mergeCell ref="I8:N8"/>
    <mergeCell ref="O8:P8"/>
    <mergeCell ref="A1:AG1"/>
    <mergeCell ref="A2:D2"/>
    <mergeCell ref="R3:AG3"/>
    <mergeCell ref="A3:P3"/>
    <mergeCell ref="E2:P2"/>
    <mergeCell ref="R2:T2"/>
    <mergeCell ref="U2:AG2"/>
    <mergeCell ref="G4:H4"/>
    <mergeCell ref="G7:H7"/>
    <mergeCell ref="A8:F8"/>
    <mergeCell ref="I5:N5"/>
    <mergeCell ref="O5:P5"/>
    <mergeCell ref="I6:N6"/>
    <mergeCell ref="O6:P6"/>
    <mergeCell ref="I4:N4"/>
    <mergeCell ref="O4:P4"/>
    <mergeCell ref="A4:F4"/>
    <mergeCell ref="A5:F5"/>
    <mergeCell ref="G5:H5"/>
    <mergeCell ref="U4:AG4"/>
    <mergeCell ref="R4:T4"/>
    <mergeCell ref="R5:T5"/>
    <mergeCell ref="U5:AG5"/>
    <mergeCell ref="R6:T6"/>
    <mergeCell ref="U6:AG6"/>
    <mergeCell ref="R12:T12"/>
    <mergeCell ref="I10:N10"/>
    <mergeCell ref="O10:P10"/>
    <mergeCell ref="A15:AG15"/>
    <mergeCell ref="I11:N11"/>
    <mergeCell ref="O11:P11"/>
    <mergeCell ref="I12:N12"/>
    <mergeCell ref="O12:P12"/>
    <mergeCell ref="I13:N13"/>
    <mergeCell ref="O13:P13"/>
    <mergeCell ref="R13:T13"/>
    <mergeCell ref="G11:H11"/>
    <mergeCell ref="A12:F12"/>
    <mergeCell ref="U12:AG12"/>
    <mergeCell ref="U13:AG13"/>
    <mergeCell ref="A13:F13"/>
    <mergeCell ref="A10:F10"/>
    <mergeCell ref="A11:F11"/>
    <mergeCell ref="G10:H10"/>
    <mergeCell ref="U7:AG7"/>
    <mergeCell ref="U8:AG8"/>
    <mergeCell ref="U9:AG9"/>
    <mergeCell ref="U10:AG10"/>
    <mergeCell ref="U11:AG11"/>
    <mergeCell ref="R10:T10"/>
    <mergeCell ref="R11:T11"/>
    <mergeCell ref="I9:N9"/>
    <mergeCell ref="O9:P9"/>
    <mergeCell ref="R9:T9"/>
    <mergeCell ref="G9:H9"/>
  </mergeCells>
  <pageMargins left="0.7" right="0.7" top="0.75" bottom="0.75" header="0.3" footer="0.3"/>
  <pageSetup orientation="landscape" r:id="rId1"/>
  <headerFooter>
    <oddFooter>&amp;R&amp;"Arial,Regular"October 2022</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FD4A-CB82-4343-81BD-F203C51D0BDE}">
  <sheetPr codeName="Sheet22">
    <pageSetUpPr fitToPage="1"/>
  </sheetPr>
  <dimension ref="A1:J52"/>
  <sheetViews>
    <sheetView view="pageLayout" zoomScaleNormal="100" workbookViewId="0">
      <selection activeCell="B53" sqref="B53:K53"/>
    </sheetView>
  </sheetViews>
  <sheetFormatPr baseColWidth="10" defaultColWidth="8.83203125" defaultRowHeight="14"/>
  <cols>
    <col min="1" max="1" width="17.83203125" customWidth="1"/>
    <col min="3" max="3" width="16.5" customWidth="1"/>
    <col min="5" max="5" width="13.6640625" customWidth="1"/>
    <col min="6" max="6" width="11" customWidth="1"/>
    <col min="7" max="7" width="13.6640625" customWidth="1"/>
    <col min="8" max="8" width="11.1640625" customWidth="1"/>
  </cols>
  <sheetData>
    <row r="1" spans="1:10" ht="18">
      <c r="A1" s="2086" t="s">
        <v>2866</v>
      </c>
      <c r="B1" s="2086"/>
      <c r="C1" s="2086"/>
      <c r="D1" s="2086"/>
      <c r="E1" s="2086"/>
      <c r="F1" s="2086"/>
      <c r="G1" s="2086"/>
      <c r="H1" s="2086"/>
      <c r="I1" s="2086"/>
      <c r="J1" s="36"/>
    </row>
    <row r="2" spans="1:10" ht="23.25" customHeight="1">
      <c r="A2" s="1457" t="s">
        <v>2865</v>
      </c>
      <c r="B2" s="2087"/>
      <c r="C2" s="2087"/>
      <c r="D2" s="2087"/>
      <c r="E2" s="2087"/>
      <c r="F2" s="2087"/>
      <c r="G2" s="2087"/>
      <c r="H2" s="2087"/>
      <c r="I2" s="2087"/>
      <c r="J2" s="36"/>
    </row>
    <row r="3" spans="1:10" ht="24.75" customHeight="1">
      <c r="A3" s="1457" t="s">
        <v>2854</v>
      </c>
      <c r="B3" s="2088"/>
      <c r="C3" s="2088"/>
      <c r="D3" s="2088"/>
      <c r="E3" s="2088"/>
      <c r="F3" s="2088"/>
      <c r="G3" s="2088"/>
      <c r="H3" s="2088"/>
      <c r="I3" s="2088"/>
      <c r="J3" s="36"/>
    </row>
    <row r="4" spans="1:10" ht="17.25" customHeight="1">
      <c r="A4" s="2083" t="s">
        <v>2864</v>
      </c>
      <c r="B4" s="2083" t="s">
        <v>63</v>
      </c>
      <c r="C4" s="2085" t="s">
        <v>2863</v>
      </c>
      <c r="D4" s="2085"/>
      <c r="E4" s="2083" t="s">
        <v>2862</v>
      </c>
      <c r="F4" s="1456" t="s">
        <v>2860</v>
      </c>
      <c r="G4" s="2083" t="s">
        <v>2861</v>
      </c>
      <c r="H4" s="1456" t="s">
        <v>2860</v>
      </c>
      <c r="I4" s="2085" t="s">
        <v>2859</v>
      </c>
      <c r="J4" s="37"/>
    </row>
    <row r="5" spans="1:10" ht="17.25" customHeight="1">
      <c r="A5" s="2084"/>
      <c r="B5" s="2084"/>
      <c r="C5" s="1455" t="s">
        <v>2858</v>
      </c>
      <c r="D5" s="1455" t="s">
        <v>36</v>
      </c>
      <c r="E5" s="2084"/>
      <c r="F5" s="1454" t="s">
        <v>2857</v>
      </c>
      <c r="G5" s="2084"/>
      <c r="H5" s="1454" t="s">
        <v>2857</v>
      </c>
      <c r="I5" s="2085"/>
      <c r="J5" s="37"/>
    </row>
    <row r="6" spans="1:10" ht="17.25" customHeight="1">
      <c r="A6" s="1715"/>
      <c r="B6" s="1715"/>
      <c r="C6" s="1715"/>
      <c r="D6" s="1715"/>
      <c r="E6" s="1715"/>
      <c r="F6" s="1715"/>
      <c r="G6" s="1715"/>
      <c r="H6" s="1715"/>
      <c r="I6" s="1715"/>
    </row>
    <row r="7" spans="1:10" ht="17.25" customHeight="1">
      <c r="A7" s="1715"/>
      <c r="B7" s="1715"/>
      <c r="C7" s="1715"/>
      <c r="D7" s="1715"/>
      <c r="E7" s="1715"/>
      <c r="F7" s="1715"/>
      <c r="G7" s="1715"/>
      <c r="H7" s="1715"/>
      <c r="I7" s="1715"/>
    </row>
    <row r="8" spans="1:10" ht="17.25" customHeight="1">
      <c r="A8" s="1715"/>
      <c r="B8" s="1715"/>
      <c r="C8" s="1715"/>
      <c r="D8" s="1715"/>
      <c r="E8" s="1715"/>
      <c r="F8" s="1715"/>
      <c r="G8" s="1715"/>
      <c r="H8" s="1715"/>
      <c r="I8" s="1715"/>
    </row>
    <row r="9" spans="1:10" ht="17.25" customHeight="1">
      <c r="A9" s="1715"/>
      <c r="B9" s="1715"/>
      <c r="C9" s="1715"/>
      <c r="D9" s="1715"/>
      <c r="E9" s="1715"/>
      <c r="F9" s="1715"/>
      <c r="G9" s="1715"/>
      <c r="H9" s="1715"/>
      <c r="I9" s="1715"/>
    </row>
    <row r="10" spans="1:10" ht="17.25" customHeight="1">
      <c r="A10" s="1715"/>
      <c r="B10" s="1715"/>
      <c r="C10" s="1715"/>
      <c r="D10" s="1715"/>
      <c r="E10" s="1715"/>
      <c r="F10" s="1715"/>
      <c r="G10" s="1715"/>
      <c r="H10" s="1715"/>
      <c r="I10" s="1715"/>
    </row>
    <row r="11" spans="1:10" ht="17.25" customHeight="1">
      <c r="A11" s="1715"/>
      <c r="B11" s="1715"/>
      <c r="C11" s="1715"/>
      <c r="D11" s="1715"/>
      <c r="E11" s="1715"/>
      <c r="F11" s="1715"/>
      <c r="G11" s="1715"/>
      <c r="H11" s="1715"/>
      <c r="I11" s="1715"/>
    </row>
    <row r="12" spans="1:10" ht="17.25" customHeight="1">
      <c r="A12" s="1715"/>
      <c r="B12" s="1715"/>
      <c r="C12" s="1715"/>
      <c r="D12" s="1715"/>
      <c r="E12" s="1715"/>
      <c r="F12" s="1715"/>
      <c r="G12" s="1715"/>
      <c r="H12" s="1715"/>
      <c r="I12" s="1715"/>
    </row>
    <row r="13" spans="1:10" ht="17.25" customHeight="1">
      <c r="A13" s="1715"/>
      <c r="B13" s="1715"/>
      <c r="C13" s="1715"/>
      <c r="D13" s="1715"/>
      <c r="E13" s="1715"/>
      <c r="F13" s="1715"/>
      <c r="G13" s="1715"/>
      <c r="H13" s="1715"/>
      <c r="I13" s="1715"/>
    </row>
    <row r="14" spans="1:10" ht="17.25" customHeight="1">
      <c r="A14" s="1715"/>
      <c r="B14" s="1715"/>
      <c r="C14" s="1715"/>
      <c r="D14" s="1715"/>
      <c r="E14" s="1715"/>
      <c r="F14" s="1715"/>
      <c r="G14" s="1715"/>
      <c r="H14" s="1715"/>
      <c r="I14" s="1715"/>
    </row>
    <row r="15" spans="1:10" ht="17.25" customHeight="1">
      <c r="A15" s="1715"/>
      <c r="B15" s="1715"/>
      <c r="C15" s="1715"/>
      <c r="D15" s="1715"/>
      <c r="E15" s="1715"/>
      <c r="F15" s="1715"/>
      <c r="G15" s="1715"/>
      <c r="H15" s="1715"/>
      <c r="I15" s="1715"/>
    </row>
    <row r="16" spans="1:10" ht="17.25" customHeight="1">
      <c r="A16" s="1715"/>
      <c r="B16" s="1715"/>
      <c r="C16" s="1715"/>
      <c r="D16" s="1715"/>
      <c r="E16" s="1715"/>
      <c r="F16" s="1715"/>
      <c r="G16" s="1715"/>
      <c r="H16" s="1715"/>
      <c r="I16" s="1715"/>
    </row>
    <row r="17" spans="1:9" ht="17.25" customHeight="1">
      <c r="A17" s="1715"/>
      <c r="B17" s="1715"/>
      <c r="C17" s="1715"/>
      <c r="D17" s="1715"/>
      <c r="E17" s="1715"/>
      <c r="F17" s="1715"/>
      <c r="G17" s="1715"/>
      <c r="H17" s="1715"/>
      <c r="I17" s="1715"/>
    </row>
    <row r="18" spans="1:9" ht="17.25" customHeight="1">
      <c r="A18" s="1715"/>
      <c r="B18" s="1715"/>
      <c r="C18" s="1715"/>
      <c r="D18" s="1715"/>
      <c r="E18" s="1715"/>
      <c r="F18" s="1715"/>
      <c r="G18" s="1715"/>
      <c r="H18" s="1715"/>
      <c r="I18" s="1715"/>
    </row>
    <row r="19" spans="1:9" ht="17.25" customHeight="1">
      <c r="A19" s="1715"/>
      <c r="B19" s="1715"/>
      <c r="C19" s="1715"/>
      <c r="D19" s="1715"/>
      <c r="E19" s="1715"/>
      <c r="F19" s="1715"/>
      <c r="G19" s="1715"/>
      <c r="H19" s="1715"/>
      <c r="I19" s="1715"/>
    </row>
    <row r="20" spans="1:9" ht="17.25" customHeight="1">
      <c r="A20" s="1715"/>
      <c r="B20" s="1715"/>
      <c r="C20" s="1715"/>
      <c r="D20" s="1715"/>
      <c r="E20" s="1715"/>
      <c r="F20" s="1715"/>
      <c r="G20" s="1715"/>
      <c r="H20" s="1715"/>
      <c r="I20" s="1715"/>
    </row>
    <row r="21" spans="1:9" ht="17.25" customHeight="1">
      <c r="A21" s="1715"/>
      <c r="B21" s="1715"/>
      <c r="C21" s="1715"/>
      <c r="D21" s="1715"/>
      <c r="E21" s="1715"/>
      <c r="F21" s="1715"/>
      <c r="G21" s="1715"/>
      <c r="H21" s="1715"/>
      <c r="I21" s="1715"/>
    </row>
    <row r="22" spans="1:9" ht="17.25" customHeight="1">
      <c r="A22" s="1715"/>
      <c r="B22" s="1715"/>
      <c r="C22" s="1715"/>
      <c r="D22" s="1715"/>
      <c r="E22" s="1715"/>
      <c r="F22" s="1715"/>
      <c r="G22" s="1715"/>
      <c r="H22" s="1715"/>
      <c r="I22" s="1715"/>
    </row>
    <row r="23" spans="1:9" ht="17.25" customHeight="1">
      <c r="A23" s="1715"/>
      <c r="B23" s="1715"/>
      <c r="C23" s="1715"/>
      <c r="D23" s="1715"/>
      <c r="E23" s="1715"/>
      <c r="F23" s="1715"/>
      <c r="G23" s="1715"/>
      <c r="H23" s="1715"/>
      <c r="I23" s="1715"/>
    </row>
    <row r="24" spans="1:9" ht="17.25" customHeight="1">
      <c r="A24" s="1715"/>
      <c r="B24" s="1715"/>
      <c r="C24" s="1715"/>
      <c r="D24" s="1715"/>
      <c r="E24" s="1715"/>
      <c r="F24" s="1715"/>
      <c r="G24" s="1715"/>
      <c r="H24" s="1715"/>
      <c r="I24" s="1715"/>
    </row>
    <row r="25" spans="1:9" ht="17.25" customHeight="1">
      <c r="A25" s="1715"/>
      <c r="B25" s="1715"/>
      <c r="C25" s="1715"/>
      <c r="D25" s="1715"/>
      <c r="E25" s="1715"/>
      <c r="F25" s="1715"/>
      <c r="G25" s="1715"/>
      <c r="H25" s="1715"/>
      <c r="I25" s="1715"/>
    </row>
    <row r="26" spans="1:9" ht="17.25" customHeight="1">
      <c r="A26" s="1715"/>
      <c r="B26" s="1715"/>
      <c r="C26" s="1715"/>
      <c r="D26" s="1715"/>
      <c r="E26" s="1715"/>
      <c r="F26" s="1715"/>
      <c r="G26" s="1715"/>
      <c r="H26" s="1715"/>
      <c r="I26" s="1715"/>
    </row>
    <row r="27" spans="1:9" ht="17.25" customHeight="1">
      <c r="A27" s="1715"/>
      <c r="B27" s="1715"/>
      <c r="C27" s="1715"/>
      <c r="D27" s="1715"/>
      <c r="E27" s="1715"/>
      <c r="F27" s="1715"/>
      <c r="G27" s="1715"/>
      <c r="H27" s="1715"/>
      <c r="I27" s="1715"/>
    </row>
    <row r="28" spans="1:9" ht="17.25" customHeight="1">
      <c r="A28" s="1715"/>
      <c r="B28" s="1715"/>
      <c r="C28" s="1715"/>
      <c r="D28" s="1715"/>
      <c r="E28" s="1715"/>
      <c r="F28" s="1715"/>
      <c r="G28" s="1715"/>
      <c r="H28" s="1715"/>
      <c r="I28" s="1715"/>
    </row>
    <row r="29" spans="1:9" ht="17.25" customHeight="1">
      <c r="A29" s="1715"/>
      <c r="B29" s="1715"/>
      <c r="C29" s="1715"/>
      <c r="D29" s="1715"/>
      <c r="E29" s="1715"/>
      <c r="F29" s="1715"/>
      <c r="G29" s="1715"/>
      <c r="H29" s="1715"/>
      <c r="I29" s="1715"/>
    </row>
    <row r="30" spans="1:9" ht="17.25" customHeight="1">
      <c r="A30" s="1715"/>
      <c r="B30" s="1715"/>
      <c r="C30" s="1715"/>
      <c r="D30" s="1715"/>
      <c r="E30" s="1715"/>
      <c r="F30" s="1715"/>
      <c r="G30" s="1715"/>
      <c r="H30" s="1715"/>
      <c r="I30" s="1715"/>
    </row>
    <row r="31" spans="1:9" ht="17.25" customHeight="1">
      <c r="A31" s="1715"/>
      <c r="B31" s="1715"/>
      <c r="C31" s="1715"/>
      <c r="D31" s="1715"/>
      <c r="E31" s="1715"/>
      <c r="F31" s="1715"/>
      <c r="G31" s="1715"/>
      <c r="H31" s="1715"/>
      <c r="I31" s="1715"/>
    </row>
    <row r="32" spans="1:9" ht="17.25" customHeight="1">
      <c r="A32" s="1715"/>
      <c r="B32" s="1715"/>
      <c r="C32" s="1715"/>
      <c r="D32" s="1715"/>
      <c r="E32" s="1715"/>
      <c r="F32" s="1715"/>
      <c r="G32" s="1715"/>
      <c r="H32" s="1715"/>
      <c r="I32" s="1715"/>
    </row>
    <row r="33" spans="1:9" ht="17.25" customHeight="1">
      <c r="A33" s="1715"/>
      <c r="B33" s="1715"/>
      <c r="C33" s="1715"/>
      <c r="D33" s="1715"/>
      <c r="E33" s="1715"/>
      <c r="F33" s="1715"/>
      <c r="G33" s="1715"/>
      <c r="H33" s="1715"/>
      <c r="I33" s="1715"/>
    </row>
    <row r="34" spans="1:9" ht="17.25" customHeight="1">
      <c r="A34" s="1715"/>
      <c r="B34" s="1715"/>
      <c r="C34" s="1715"/>
      <c r="D34" s="1715"/>
      <c r="E34" s="1715"/>
      <c r="F34" s="1715"/>
      <c r="G34" s="1715"/>
      <c r="H34" s="1715"/>
      <c r="I34" s="1715"/>
    </row>
    <row r="35" spans="1:9" ht="17.25" customHeight="1">
      <c r="A35" s="1715"/>
      <c r="B35" s="1715"/>
      <c r="C35" s="1715"/>
      <c r="D35" s="1715"/>
      <c r="E35" s="1715"/>
      <c r="F35" s="1715"/>
      <c r="G35" s="1715"/>
      <c r="H35" s="1715"/>
      <c r="I35" s="1715"/>
    </row>
    <row r="36" spans="1:9" ht="17.25" customHeight="1">
      <c r="A36" s="1715"/>
      <c r="B36" s="1715"/>
      <c r="C36" s="1715"/>
      <c r="D36" s="1715"/>
      <c r="E36" s="1715"/>
      <c r="F36" s="1715"/>
      <c r="G36" s="1715"/>
      <c r="H36" s="1715"/>
      <c r="I36" s="1715"/>
    </row>
    <row r="37" spans="1:9" ht="17.25" customHeight="1">
      <c r="A37" s="1715"/>
      <c r="B37" s="1715"/>
      <c r="C37" s="1715"/>
      <c r="D37" s="1715"/>
      <c r="E37" s="1715"/>
      <c r="F37" s="1715"/>
      <c r="G37" s="1715"/>
      <c r="H37" s="1715"/>
      <c r="I37" s="1715"/>
    </row>
    <row r="38" spans="1:9" ht="17.25" customHeight="1">
      <c r="A38" s="1715"/>
      <c r="B38" s="1715"/>
      <c r="C38" s="1715"/>
      <c r="D38" s="1715"/>
      <c r="E38" s="1715"/>
      <c r="F38" s="1715"/>
      <c r="G38" s="1715"/>
      <c r="H38" s="1715"/>
      <c r="I38" s="1715"/>
    </row>
    <row r="39" spans="1:9" ht="17.25" customHeight="1">
      <c r="A39" s="1715"/>
      <c r="B39" s="1715"/>
      <c r="C39" s="1715"/>
      <c r="D39" s="1715"/>
      <c r="E39" s="1715"/>
      <c r="F39" s="1715"/>
      <c r="G39" s="1715"/>
      <c r="H39" s="1715"/>
      <c r="I39" s="1715"/>
    </row>
    <row r="40" spans="1:9" ht="17.25" customHeight="1">
      <c r="A40" s="1715"/>
      <c r="B40" s="1715"/>
      <c r="C40" s="1715"/>
      <c r="D40" s="1715"/>
      <c r="E40" s="1715"/>
      <c r="F40" s="1715"/>
      <c r="G40" s="1715"/>
      <c r="H40" s="1715"/>
      <c r="I40" s="1715"/>
    </row>
    <row r="41" spans="1:9" ht="17.25" customHeight="1">
      <c r="A41" s="1715"/>
      <c r="B41" s="1715"/>
      <c r="C41" s="1715"/>
      <c r="D41" s="1715"/>
      <c r="E41" s="1715"/>
      <c r="F41" s="1715"/>
      <c r="G41" s="1715"/>
      <c r="H41" s="1715"/>
      <c r="I41" s="1715"/>
    </row>
    <row r="42" spans="1:9" ht="17.25" customHeight="1">
      <c r="A42" s="1715"/>
      <c r="B42" s="1715"/>
      <c r="C42" s="1715"/>
      <c r="D42" s="1715"/>
      <c r="E42" s="1715"/>
      <c r="F42" s="1715"/>
      <c r="G42" s="1715"/>
      <c r="H42" s="1715"/>
      <c r="I42" s="1715"/>
    </row>
    <row r="43" spans="1:9" ht="17.25" customHeight="1">
      <c r="A43" s="1715"/>
      <c r="B43" s="1715"/>
      <c r="C43" s="1715"/>
      <c r="D43" s="1715"/>
      <c r="E43" s="1715"/>
      <c r="F43" s="1715"/>
      <c r="G43" s="1715"/>
      <c r="H43" s="1715"/>
      <c r="I43" s="1715"/>
    </row>
    <row r="44" spans="1:9" ht="17.25" customHeight="1">
      <c r="A44" s="1715"/>
      <c r="B44" s="1715"/>
      <c r="C44" s="1715"/>
      <c r="D44" s="1715"/>
      <c r="E44" s="1715"/>
      <c r="F44" s="1715"/>
      <c r="G44" s="1715"/>
      <c r="H44" s="1715"/>
      <c r="I44" s="1715"/>
    </row>
    <row r="45" spans="1:9" ht="17.25" customHeight="1">
      <c r="A45" s="1715"/>
      <c r="B45" s="1715"/>
      <c r="C45" s="1715"/>
      <c r="D45" s="1715"/>
      <c r="E45" s="1715"/>
      <c r="F45" s="1715"/>
      <c r="G45" s="1715"/>
      <c r="H45" s="1715"/>
      <c r="I45" s="1715"/>
    </row>
    <row r="46" spans="1:9" ht="17.25" customHeight="1">
      <c r="A46" s="1715"/>
      <c r="B46" s="1715"/>
      <c r="C46" s="1715"/>
      <c r="D46" s="1715"/>
      <c r="E46" s="1715"/>
      <c r="F46" s="1715"/>
      <c r="G46" s="1715"/>
      <c r="H46" s="1715"/>
      <c r="I46" s="1715"/>
    </row>
    <row r="47" spans="1:9" ht="17.25" customHeight="1">
      <c r="A47" s="1715"/>
      <c r="B47" s="1715"/>
      <c r="C47" s="1715"/>
      <c r="D47" s="1715"/>
      <c r="E47" s="1715"/>
      <c r="F47" s="1715"/>
      <c r="G47" s="1715"/>
      <c r="H47" s="1715"/>
      <c r="I47" s="1715"/>
    </row>
    <row r="48" spans="1:9" ht="17.25" customHeight="1">
      <c r="A48" s="1715"/>
      <c r="B48" s="1715"/>
      <c r="C48" s="1715"/>
      <c r="D48" s="1715"/>
      <c r="E48" s="1715"/>
      <c r="F48" s="1715"/>
      <c r="G48" s="1715"/>
      <c r="H48" s="1715"/>
      <c r="I48" s="1715"/>
    </row>
    <row r="49" spans="1:9" ht="17.25" customHeight="1">
      <c r="A49" s="1715"/>
      <c r="B49" s="1715"/>
      <c r="C49" s="1715"/>
      <c r="D49" s="1715"/>
      <c r="E49" s="1715"/>
      <c r="F49" s="1715"/>
      <c r="G49" s="1715"/>
      <c r="H49" s="1715"/>
      <c r="I49" s="1715"/>
    </row>
    <row r="50" spans="1:9" ht="17.25" customHeight="1">
      <c r="A50" s="1715"/>
      <c r="B50" s="1715"/>
      <c r="C50" s="1715"/>
      <c r="D50" s="1715"/>
      <c r="E50" s="1715"/>
      <c r="F50" s="1715"/>
      <c r="G50" s="1715"/>
      <c r="H50" s="1715"/>
      <c r="I50" s="1715"/>
    </row>
    <row r="51" spans="1:9" ht="17.25" customHeight="1">
      <c r="A51" s="1715"/>
      <c r="B51" s="1715"/>
      <c r="C51" s="1715"/>
      <c r="D51" s="1715"/>
      <c r="E51" s="1715"/>
      <c r="F51" s="1715"/>
      <c r="G51" s="1715"/>
      <c r="H51" s="1715"/>
      <c r="I51" s="1715"/>
    </row>
    <row r="52" spans="1:9" ht="17.25" customHeight="1">
      <c r="A52" s="1715"/>
      <c r="B52" s="1715"/>
      <c r="C52" s="1715"/>
      <c r="D52" s="1715"/>
      <c r="E52" s="1715"/>
      <c r="F52" s="1715"/>
      <c r="G52" s="1715"/>
      <c r="H52" s="1715"/>
      <c r="I52" s="1715"/>
    </row>
  </sheetData>
  <mergeCells count="9">
    <mergeCell ref="G4:G5"/>
    <mergeCell ref="I4:I5"/>
    <mergeCell ref="A1:I1"/>
    <mergeCell ref="B2:I2"/>
    <mergeCell ref="C4:D4"/>
    <mergeCell ref="A4:A5"/>
    <mergeCell ref="B4:B5"/>
    <mergeCell ref="E4:E5"/>
    <mergeCell ref="B3:I3"/>
  </mergeCells>
  <pageMargins left="0.7" right="0.7" top="0.75" bottom="0.75" header="0.3" footer="0.3"/>
  <pageSetup scale="77" fitToHeight="0" orientation="portrait" r:id="rId1"/>
  <headerFooter>
    <oddFooter>&amp;R&amp;"Arial,Regular"October 2022</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09EEA-833B-4341-9B33-6E43A41CB568}">
  <sheetPr codeName="Sheet24">
    <pageSetUpPr fitToPage="1"/>
  </sheetPr>
  <dimension ref="A1:AI89"/>
  <sheetViews>
    <sheetView topLeftCell="A22" zoomScaleNormal="100" zoomScaleSheetLayoutView="120" workbookViewId="0">
      <selection activeCell="B53" sqref="B53:K53"/>
    </sheetView>
  </sheetViews>
  <sheetFormatPr baseColWidth="10" defaultColWidth="8.83203125" defaultRowHeight="14"/>
  <cols>
    <col min="1" max="1" width="14.83203125" customWidth="1"/>
    <col min="2" max="10" width="2.5" customWidth="1"/>
    <col min="11" max="11" width="2.6640625" customWidth="1"/>
    <col min="12" max="20" width="2.5" customWidth="1"/>
    <col min="21" max="21" width="2.6640625" customWidth="1"/>
    <col min="22" max="30" width="2.5" customWidth="1"/>
    <col min="31" max="31" width="2.6640625" customWidth="1"/>
    <col min="32" max="32" width="5.33203125" customWidth="1"/>
    <col min="33" max="33" width="6" customWidth="1"/>
    <col min="34" max="34" width="4" customWidth="1"/>
    <col min="35" max="35" width="4.33203125" customWidth="1"/>
    <col min="257" max="257" width="14.83203125" customWidth="1"/>
    <col min="258" max="266" width="2.5" customWidth="1"/>
    <col min="267" max="267" width="2.6640625" customWidth="1"/>
    <col min="268" max="276" width="2.5" customWidth="1"/>
    <col min="277" max="277" width="2.6640625" customWidth="1"/>
    <col min="278" max="286" width="2.5" customWidth="1"/>
    <col min="287" max="287" width="2.6640625" customWidth="1"/>
    <col min="288" max="288" width="5.33203125" customWidth="1"/>
    <col min="289" max="289" width="6" customWidth="1"/>
    <col min="290" max="290" width="4" customWidth="1"/>
    <col min="291" max="291" width="4.33203125" customWidth="1"/>
    <col min="513" max="513" width="14.83203125" customWidth="1"/>
    <col min="514" max="522" width="2.5" customWidth="1"/>
    <col min="523" max="523" width="2.6640625" customWidth="1"/>
    <col min="524" max="532" width="2.5" customWidth="1"/>
    <col min="533" max="533" width="2.6640625" customWidth="1"/>
    <col min="534" max="542" width="2.5" customWidth="1"/>
    <col min="543" max="543" width="2.6640625" customWidth="1"/>
    <col min="544" max="544" width="5.33203125" customWidth="1"/>
    <col min="545" max="545" width="6" customWidth="1"/>
    <col min="546" max="546" width="4" customWidth="1"/>
    <col min="547" max="547" width="4.33203125" customWidth="1"/>
    <col min="769" max="769" width="14.83203125" customWidth="1"/>
    <col min="770" max="778" width="2.5" customWidth="1"/>
    <col min="779" max="779" width="2.6640625" customWidth="1"/>
    <col min="780" max="788" width="2.5" customWidth="1"/>
    <col min="789" max="789" width="2.6640625" customWidth="1"/>
    <col min="790" max="798" width="2.5" customWidth="1"/>
    <col min="799" max="799" width="2.6640625" customWidth="1"/>
    <col min="800" max="800" width="5.33203125" customWidth="1"/>
    <col min="801" max="801" width="6" customWidth="1"/>
    <col min="802" max="802" width="4" customWidth="1"/>
    <col min="803" max="803" width="4.33203125" customWidth="1"/>
    <col min="1025" max="1025" width="14.83203125" customWidth="1"/>
    <col min="1026" max="1034" width="2.5" customWidth="1"/>
    <col min="1035" max="1035" width="2.6640625" customWidth="1"/>
    <col min="1036" max="1044" width="2.5" customWidth="1"/>
    <col min="1045" max="1045" width="2.6640625" customWidth="1"/>
    <col min="1046" max="1054" width="2.5" customWidth="1"/>
    <col min="1055" max="1055" width="2.6640625" customWidth="1"/>
    <col min="1056" max="1056" width="5.33203125" customWidth="1"/>
    <col min="1057" max="1057" width="6" customWidth="1"/>
    <col min="1058" max="1058" width="4" customWidth="1"/>
    <col min="1059" max="1059" width="4.33203125" customWidth="1"/>
    <col min="1281" max="1281" width="14.83203125" customWidth="1"/>
    <col min="1282" max="1290" width="2.5" customWidth="1"/>
    <col min="1291" max="1291" width="2.6640625" customWidth="1"/>
    <col min="1292" max="1300" width="2.5" customWidth="1"/>
    <col min="1301" max="1301" width="2.6640625" customWidth="1"/>
    <col min="1302" max="1310" width="2.5" customWidth="1"/>
    <col min="1311" max="1311" width="2.6640625" customWidth="1"/>
    <col min="1312" max="1312" width="5.33203125" customWidth="1"/>
    <col min="1313" max="1313" width="6" customWidth="1"/>
    <col min="1314" max="1314" width="4" customWidth="1"/>
    <col min="1315" max="1315" width="4.33203125" customWidth="1"/>
    <col min="1537" max="1537" width="14.83203125" customWidth="1"/>
    <col min="1538" max="1546" width="2.5" customWidth="1"/>
    <col min="1547" max="1547" width="2.6640625" customWidth="1"/>
    <col min="1548" max="1556" width="2.5" customWidth="1"/>
    <col min="1557" max="1557" width="2.6640625" customWidth="1"/>
    <col min="1558" max="1566" width="2.5" customWidth="1"/>
    <col min="1567" max="1567" width="2.6640625" customWidth="1"/>
    <col min="1568" max="1568" width="5.33203125" customWidth="1"/>
    <col min="1569" max="1569" width="6" customWidth="1"/>
    <col min="1570" max="1570" width="4" customWidth="1"/>
    <col min="1571" max="1571" width="4.33203125" customWidth="1"/>
    <col min="1793" max="1793" width="14.83203125" customWidth="1"/>
    <col min="1794" max="1802" width="2.5" customWidth="1"/>
    <col min="1803" max="1803" width="2.6640625" customWidth="1"/>
    <col min="1804" max="1812" width="2.5" customWidth="1"/>
    <col min="1813" max="1813" width="2.6640625" customWidth="1"/>
    <col min="1814" max="1822" width="2.5" customWidth="1"/>
    <col min="1823" max="1823" width="2.6640625" customWidth="1"/>
    <col min="1824" max="1824" width="5.33203125" customWidth="1"/>
    <col min="1825" max="1825" width="6" customWidth="1"/>
    <col min="1826" max="1826" width="4" customWidth="1"/>
    <col min="1827" max="1827" width="4.33203125" customWidth="1"/>
    <col min="2049" max="2049" width="14.83203125" customWidth="1"/>
    <col min="2050" max="2058" width="2.5" customWidth="1"/>
    <col min="2059" max="2059" width="2.6640625" customWidth="1"/>
    <col min="2060" max="2068" width="2.5" customWidth="1"/>
    <col min="2069" max="2069" width="2.6640625" customWidth="1"/>
    <col min="2070" max="2078" width="2.5" customWidth="1"/>
    <col min="2079" max="2079" width="2.6640625" customWidth="1"/>
    <col min="2080" max="2080" width="5.33203125" customWidth="1"/>
    <col min="2081" max="2081" width="6" customWidth="1"/>
    <col min="2082" max="2082" width="4" customWidth="1"/>
    <col min="2083" max="2083" width="4.33203125" customWidth="1"/>
    <col min="2305" max="2305" width="14.83203125" customWidth="1"/>
    <col min="2306" max="2314" width="2.5" customWidth="1"/>
    <col min="2315" max="2315" width="2.6640625" customWidth="1"/>
    <col min="2316" max="2324" width="2.5" customWidth="1"/>
    <col min="2325" max="2325" width="2.6640625" customWidth="1"/>
    <col min="2326" max="2334" width="2.5" customWidth="1"/>
    <col min="2335" max="2335" width="2.6640625" customWidth="1"/>
    <col min="2336" max="2336" width="5.33203125" customWidth="1"/>
    <col min="2337" max="2337" width="6" customWidth="1"/>
    <col min="2338" max="2338" width="4" customWidth="1"/>
    <col min="2339" max="2339" width="4.33203125" customWidth="1"/>
    <col min="2561" max="2561" width="14.83203125" customWidth="1"/>
    <col min="2562" max="2570" width="2.5" customWidth="1"/>
    <col min="2571" max="2571" width="2.6640625" customWidth="1"/>
    <col min="2572" max="2580" width="2.5" customWidth="1"/>
    <col min="2581" max="2581" width="2.6640625" customWidth="1"/>
    <col min="2582" max="2590" width="2.5" customWidth="1"/>
    <col min="2591" max="2591" width="2.6640625" customWidth="1"/>
    <col min="2592" max="2592" width="5.33203125" customWidth="1"/>
    <col min="2593" max="2593" width="6" customWidth="1"/>
    <col min="2594" max="2594" width="4" customWidth="1"/>
    <col min="2595" max="2595" width="4.33203125" customWidth="1"/>
    <col min="2817" max="2817" width="14.83203125" customWidth="1"/>
    <col min="2818" max="2826" width="2.5" customWidth="1"/>
    <col min="2827" max="2827" width="2.6640625" customWidth="1"/>
    <col min="2828" max="2836" width="2.5" customWidth="1"/>
    <col min="2837" max="2837" width="2.6640625" customWidth="1"/>
    <col min="2838" max="2846" width="2.5" customWidth="1"/>
    <col min="2847" max="2847" width="2.6640625" customWidth="1"/>
    <col min="2848" max="2848" width="5.33203125" customWidth="1"/>
    <col min="2849" max="2849" width="6" customWidth="1"/>
    <col min="2850" max="2850" width="4" customWidth="1"/>
    <col min="2851" max="2851" width="4.33203125" customWidth="1"/>
    <col min="3073" max="3073" width="14.83203125" customWidth="1"/>
    <col min="3074" max="3082" width="2.5" customWidth="1"/>
    <col min="3083" max="3083" width="2.6640625" customWidth="1"/>
    <col min="3084" max="3092" width="2.5" customWidth="1"/>
    <col min="3093" max="3093" width="2.6640625" customWidth="1"/>
    <col min="3094" max="3102" width="2.5" customWidth="1"/>
    <col min="3103" max="3103" width="2.6640625" customWidth="1"/>
    <col min="3104" max="3104" width="5.33203125" customWidth="1"/>
    <col min="3105" max="3105" width="6" customWidth="1"/>
    <col min="3106" max="3106" width="4" customWidth="1"/>
    <col min="3107" max="3107" width="4.33203125" customWidth="1"/>
    <col min="3329" max="3329" width="14.83203125" customWidth="1"/>
    <col min="3330" max="3338" width="2.5" customWidth="1"/>
    <col min="3339" max="3339" width="2.6640625" customWidth="1"/>
    <col min="3340" max="3348" width="2.5" customWidth="1"/>
    <col min="3349" max="3349" width="2.6640625" customWidth="1"/>
    <col min="3350" max="3358" width="2.5" customWidth="1"/>
    <col min="3359" max="3359" width="2.6640625" customWidth="1"/>
    <col min="3360" max="3360" width="5.33203125" customWidth="1"/>
    <col min="3361" max="3361" width="6" customWidth="1"/>
    <col min="3362" max="3362" width="4" customWidth="1"/>
    <col min="3363" max="3363" width="4.33203125" customWidth="1"/>
    <col min="3585" max="3585" width="14.83203125" customWidth="1"/>
    <col min="3586" max="3594" width="2.5" customWidth="1"/>
    <col min="3595" max="3595" width="2.6640625" customWidth="1"/>
    <col min="3596" max="3604" width="2.5" customWidth="1"/>
    <col min="3605" max="3605" width="2.6640625" customWidth="1"/>
    <col min="3606" max="3614" width="2.5" customWidth="1"/>
    <col min="3615" max="3615" width="2.6640625" customWidth="1"/>
    <col min="3616" max="3616" width="5.33203125" customWidth="1"/>
    <col min="3617" max="3617" width="6" customWidth="1"/>
    <col min="3618" max="3618" width="4" customWidth="1"/>
    <col min="3619" max="3619" width="4.33203125" customWidth="1"/>
    <col min="3841" max="3841" width="14.83203125" customWidth="1"/>
    <col min="3842" max="3850" width="2.5" customWidth="1"/>
    <col min="3851" max="3851" width="2.6640625" customWidth="1"/>
    <col min="3852" max="3860" width="2.5" customWidth="1"/>
    <col min="3861" max="3861" width="2.6640625" customWidth="1"/>
    <col min="3862" max="3870" width="2.5" customWidth="1"/>
    <col min="3871" max="3871" width="2.6640625" customWidth="1"/>
    <col min="3872" max="3872" width="5.33203125" customWidth="1"/>
    <col min="3873" max="3873" width="6" customWidth="1"/>
    <col min="3874" max="3874" width="4" customWidth="1"/>
    <col min="3875" max="3875" width="4.33203125" customWidth="1"/>
    <col min="4097" max="4097" width="14.83203125" customWidth="1"/>
    <col min="4098" max="4106" width="2.5" customWidth="1"/>
    <col min="4107" max="4107" width="2.6640625" customWidth="1"/>
    <col min="4108" max="4116" width="2.5" customWidth="1"/>
    <col min="4117" max="4117" width="2.6640625" customWidth="1"/>
    <col min="4118" max="4126" width="2.5" customWidth="1"/>
    <col min="4127" max="4127" width="2.6640625" customWidth="1"/>
    <col min="4128" max="4128" width="5.33203125" customWidth="1"/>
    <col min="4129" max="4129" width="6" customWidth="1"/>
    <col min="4130" max="4130" width="4" customWidth="1"/>
    <col min="4131" max="4131" width="4.33203125" customWidth="1"/>
    <col min="4353" max="4353" width="14.83203125" customWidth="1"/>
    <col min="4354" max="4362" width="2.5" customWidth="1"/>
    <col min="4363" max="4363" width="2.6640625" customWidth="1"/>
    <col min="4364" max="4372" width="2.5" customWidth="1"/>
    <col min="4373" max="4373" width="2.6640625" customWidth="1"/>
    <col min="4374" max="4382" width="2.5" customWidth="1"/>
    <col min="4383" max="4383" width="2.6640625" customWidth="1"/>
    <col min="4384" max="4384" width="5.33203125" customWidth="1"/>
    <col min="4385" max="4385" width="6" customWidth="1"/>
    <col min="4386" max="4386" width="4" customWidth="1"/>
    <col min="4387" max="4387" width="4.33203125" customWidth="1"/>
    <col min="4609" max="4609" width="14.83203125" customWidth="1"/>
    <col min="4610" max="4618" width="2.5" customWidth="1"/>
    <col min="4619" max="4619" width="2.6640625" customWidth="1"/>
    <col min="4620" max="4628" width="2.5" customWidth="1"/>
    <col min="4629" max="4629" width="2.6640625" customWidth="1"/>
    <col min="4630" max="4638" width="2.5" customWidth="1"/>
    <col min="4639" max="4639" width="2.6640625" customWidth="1"/>
    <col min="4640" max="4640" width="5.33203125" customWidth="1"/>
    <col min="4641" max="4641" width="6" customWidth="1"/>
    <col min="4642" max="4642" width="4" customWidth="1"/>
    <col min="4643" max="4643" width="4.33203125" customWidth="1"/>
    <col min="4865" max="4865" width="14.83203125" customWidth="1"/>
    <col min="4866" max="4874" width="2.5" customWidth="1"/>
    <col min="4875" max="4875" width="2.6640625" customWidth="1"/>
    <col min="4876" max="4884" width="2.5" customWidth="1"/>
    <col min="4885" max="4885" width="2.6640625" customWidth="1"/>
    <col min="4886" max="4894" width="2.5" customWidth="1"/>
    <col min="4895" max="4895" width="2.6640625" customWidth="1"/>
    <col min="4896" max="4896" width="5.33203125" customWidth="1"/>
    <col min="4897" max="4897" width="6" customWidth="1"/>
    <col min="4898" max="4898" width="4" customWidth="1"/>
    <col min="4899" max="4899" width="4.33203125" customWidth="1"/>
    <col min="5121" max="5121" width="14.83203125" customWidth="1"/>
    <col min="5122" max="5130" width="2.5" customWidth="1"/>
    <col min="5131" max="5131" width="2.6640625" customWidth="1"/>
    <col min="5132" max="5140" width="2.5" customWidth="1"/>
    <col min="5141" max="5141" width="2.6640625" customWidth="1"/>
    <col min="5142" max="5150" width="2.5" customWidth="1"/>
    <col min="5151" max="5151" width="2.6640625" customWidth="1"/>
    <col min="5152" max="5152" width="5.33203125" customWidth="1"/>
    <col min="5153" max="5153" width="6" customWidth="1"/>
    <col min="5154" max="5154" width="4" customWidth="1"/>
    <col min="5155" max="5155" width="4.33203125" customWidth="1"/>
    <col min="5377" max="5377" width="14.83203125" customWidth="1"/>
    <col min="5378" max="5386" width="2.5" customWidth="1"/>
    <col min="5387" max="5387" width="2.6640625" customWidth="1"/>
    <col min="5388" max="5396" width="2.5" customWidth="1"/>
    <col min="5397" max="5397" width="2.6640625" customWidth="1"/>
    <col min="5398" max="5406" width="2.5" customWidth="1"/>
    <col min="5407" max="5407" width="2.6640625" customWidth="1"/>
    <col min="5408" max="5408" width="5.33203125" customWidth="1"/>
    <col min="5409" max="5409" width="6" customWidth="1"/>
    <col min="5410" max="5410" width="4" customWidth="1"/>
    <col min="5411" max="5411" width="4.33203125" customWidth="1"/>
    <col min="5633" max="5633" width="14.83203125" customWidth="1"/>
    <col min="5634" max="5642" width="2.5" customWidth="1"/>
    <col min="5643" max="5643" width="2.6640625" customWidth="1"/>
    <col min="5644" max="5652" width="2.5" customWidth="1"/>
    <col min="5653" max="5653" width="2.6640625" customWidth="1"/>
    <col min="5654" max="5662" width="2.5" customWidth="1"/>
    <col min="5663" max="5663" width="2.6640625" customWidth="1"/>
    <col min="5664" max="5664" width="5.33203125" customWidth="1"/>
    <col min="5665" max="5665" width="6" customWidth="1"/>
    <col min="5666" max="5666" width="4" customWidth="1"/>
    <col min="5667" max="5667" width="4.33203125" customWidth="1"/>
    <col min="5889" max="5889" width="14.83203125" customWidth="1"/>
    <col min="5890" max="5898" width="2.5" customWidth="1"/>
    <col min="5899" max="5899" width="2.6640625" customWidth="1"/>
    <col min="5900" max="5908" width="2.5" customWidth="1"/>
    <col min="5909" max="5909" width="2.6640625" customWidth="1"/>
    <col min="5910" max="5918" width="2.5" customWidth="1"/>
    <col min="5919" max="5919" width="2.6640625" customWidth="1"/>
    <col min="5920" max="5920" width="5.33203125" customWidth="1"/>
    <col min="5921" max="5921" width="6" customWidth="1"/>
    <col min="5922" max="5922" width="4" customWidth="1"/>
    <col min="5923" max="5923" width="4.33203125" customWidth="1"/>
    <col min="6145" max="6145" width="14.83203125" customWidth="1"/>
    <col min="6146" max="6154" width="2.5" customWidth="1"/>
    <col min="6155" max="6155" width="2.6640625" customWidth="1"/>
    <col min="6156" max="6164" width="2.5" customWidth="1"/>
    <col min="6165" max="6165" width="2.6640625" customWidth="1"/>
    <col min="6166" max="6174" width="2.5" customWidth="1"/>
    <col min="6175" max="6175" width="2.6640625" customWidth="1"/>
    <col min="6176" max="6176" width="5.33203125" customWidth="1"/>
    <col min="6177" max="6177" width="6" customWidth="1"/>
    <col min="6178" max="6178" width="4" customWidth="1"/>
    <col min="6179" max="6179" width="4.33203125" customWidth="1"/>
    <col min="6401" max="6401" width="14.83203125" customWidth="1"/>
    <col min="6402" max="6410" width="2.5" customWidth="1"/>
    <col min="6411" max="6411" width="2.6640625" customWidth="1"/>
    <col min="6412" max="6420" width="2.5" customWidth="1"/>
    <col min="6421" max="6421" width="2.6640625" customWidth="1"/>
    <col min="6422" max="6430" width="2.5" customWidth="1"/>
    <col min="6431" max="6431" width="2.6640625" customWidth="1"/>
    <col min="6432" max="6432" width="5.33203125" customWidth="1"/>
    <col min="6433" max="6433" width="6" customWidth="1"/>
    <col min="6434" max="6434" width="4" customWidth="1"/>
    <col min="6435" max="6435" width="4.33203125" customWidth="1"/>
    <col min="6657" max="6657" width="14.83203125" customWidth="1"/>
    <col min="6658" max="6666" width="2.5" customWidth="1"/>
    <col min="6667" max="6667" width="2.6640625" customWidth="1"/>
    <col min="6668" max="6676" width="2.5" customWidth="1"/>
    <col min="6677" max="6677" width="2.6640625" customWidth="1"/>
    <col min="6678" max="6686" width="2.5" customWidth="1"/>
    <col min="6687" max="6687" width="2.6640625" customWidth="1"/>
    <col min="6688" max="6688" width="5.33203125" customWidth="1"/>
    <col min="6689" max="6689" width="6" customWidth="1"/>
    <col min="6690" max="6690" width="4" customWidth="1"/>
    <col min="6691" max="6691" width="4.33203125" customWidth="1"/>
    <col min="6913" max="6913" width="14.83203125" customWidth="1"/>
    <col min="6914" max="6922" width="2.5" customWidth="1"/>
    <col min="6923" max="6923" width="2.6640625" customWidth="1"/>
    <col min="6924" max="6932" width="2.5" customWidth="1"/>
    <col min="6933" max="6933" width="2.6640625" customWidth="1"/>
    <col min="6934" max="6942" width="2.5" customWidth="1"/>
    <col min="6943" max="6943" width="2.6640625" customWidth="1"/>
    <col min="6944" max="6944" width="5.33203125" customWidth="1"/>
    <col min="6945" max="6945" width="6" customWidth="1"/>
    <col min="6946" max="6946" width="4" customWidth="1"/>
    <col min="6947" max="6947" width="4.33203125" customWidth="1"/>
    <col min="7169" max="7169" width="14.83203125" customWidth="1"/>
    <col min="7170" max="7178" width="2.5" customWidth="1"/>
    <col min="7179" max="7179" width="2.6640625" customWidth="1"/>
    <col min="7180" max="7188" width="2.5" customWidth="1"/>
    <col min="7189" max="7189" width="2.6640625" customWidth="1"/>
    <col min="7190" max="7198" width="2.5" customWidth="1"/>
    <col min="7199" max="7199" width="2.6640625" customWidth="1"/>
    <col min="7200" max="7200" width="5.33203125" customWidth="1"/>
    <col min="7201" max="7201" width="6" customWidth="1"/>
    <col min="7202" max="7202" width="4" customWidth="1"/>
    <col min="7203" max="7203" width="4.33203125" customWidth="1"/>
    <col min="7425" max="7425" width="14.83203125" customWidth="1"/>
    <col min="7426" max="7434" width="2.5" customWidth="1"/>
    <col min="7435" max="7435" width="2.6640625" customWidth="1"/>
    <col min="7436" max="7444" width="2.5" customWidth="1"/>
    <col min="7445" max="7445" width="2.6640625" customWidth="1"/>
    <col min="7446" max="7454" width="2.5" customWidth="1"/>
    <col min="7455" max="7455" width="2.6640625" customWidth="1"/>
    <col min="7456" max="7456" width="5.33203125" customWidth="1"/>
    <col min="7457" max="7457" width="6" customWidth="1"/>
    <col min="7458" max="7458" width="4" customWidth="1"/>
    <col min="7459" max="7459" width="4.33203125" customWidth="1"/>
    <col min="7681" max="7681" width="14.83203125" customWidth="1"/>
    <col min="7682" max="7690" width="2.5" customWidth="1"/>
    <col min="7691" max="7691" width="2.6640625" customWidth="1"/>
    <col min="7692" max="7700" width="2.5" customWidth="1"/>
    <col min="7701" max="7701" width="2.6640625" customWidth="1"/>
    <col min="7702" max="7710" width="2.5" customWidth="1"/>
    <col min="7711" max="7711" width="2.6640625" customWidth="1"/>
    <col min="7712" max="7712" width="5.33203125" customWidth="1"/>
    <col min="7713" max="7713" width="6" customWidth="1"/>
    <col min="7714" max="7714" width="4" customWidth="1"/>
    <col min="7715" max="7715" width="4.33203125" customWidth="1"/>
    <col min="7937" max="7937" width="14.83203125" customWidth="1"/>
    <col min="7938" max="7946" width="2.5" customWidth="1"/>
    <col min="7947" max="7947" width="2.6640625" customWidth="1"/>
    <col min="7948" max="7956" width="2.5" customWidth="1"/>
    <col min="7957" max="7957" width="2.6640625" customWidth="1"/>
    <col min="7958" max="7966" width="2.5" customWidth="1"/>
    <col min="7967" max="7967" width="2.6640625" customWidth="1"/>
    <col min="7968" max="7968" width="5.33203125" customWidth="1"/>
    <col min="7969" max="7969" width="6" customWidth="1"/>
    <col min="7970" max="7970" width="4" customWidth="1"/>
    <col min="7971" max="7971" width="4.33203125" customWidth="1"/>
    <col min="8193" max="8193" width="14.83203125" customWidth="1"/>
    <col min="8194" max="8202" width="2.5" customWidth="1"/>
    <col min="8203" max="8203" width="2.6640625" customWidth="1"/>
    <col min="8204" max="8212" width="2.5" customWidth="1"/>
    <col min="8213" max="8213" width="2.6640625" customWidth="1"/>
    <col min="8214" max="8222" width="2.5" customWidth="1"/>
    <col min="8223" max="8223" width="2.6640625" customWidth="1"/>
    <col min="8224" max="8224" width="5.33203125" customWidth="1"/>
    <col min="8225" max="8225" width="6" customWidth="1"/>
    <col min="8226" max="8226" width="4" customWidth="1"/>
    <col min="8227" max="8227" width="4.33203125" customWidth="1"/>
    <col min="8449" max="8449" width="14.83203125" customWidth="1"/>
    <col min="8450" max="8458" width="2.5" customWidth="1"/>
    <col min="8459" max="8459" width="2.6640625" customWidth="1"/>
    <col min="8460" max="8468" width="2.5" customWidth="1"/>
    <col min="8469" max="8469" width="2.6640625" customWidth="1"/>
    <col min="8470" max="8478" width="2.5" customWidth="1"/>
    <col min="8479" max="8479" width="2.6640625" customWidth="1"/>
    <col min="8480" max="8480" width="5.33203125" customWidth="1"/>
    <col min="8481" max="8481" width="6" customWidth="1"/>
    <col min="8482" max="8482" width="4" customWidth="1"/>
    <col min="8483" max="8483" width="4.33203125" customWidth="1"/>
    <col min="8705" max="8705" width="14.83203125" customWidth="1"/>
    <col min="8706" max="8714" width="2.5" customWidth="1"/>
    <col min="8715" max="8715" width="2.6640625" customWidth="1"/>
    <col min="8716" max="8724" width="2.5" customWidth="1"/>
    <col min="8725" max="8725" width="2.6640625" customWidth="1"/>
    <col min="8726" max="8734" width="2.5" customWidth="1"/>
    <col min="8735" max="8735" width="2.6640625" customWidth="1"/>
    <col min="8736" max="8736" width="5.33203125" customWidth="1"/>
    <col min="8737" max="8737" width="6" customWidth="1"/>
    <col min="8738" max="8738" width="4" customWidth="1"/>
    <col min="8739" max="8739" width="4.33203125" customWidth="1"/>
    <col min="8961" max="8961" width="14.83203125" customWidth="1"/>
    <col min="8962" max="8970" width="2.5" customWidth="1"/>
    <col min="8971" max="8971" width="2.6640625" customWidth="1"/>
    <col min="8972" max="8980" width="2.5" customWidth="1"/>
    <col min="8981" max="8981" width="2.6640625" customWidth="1"/>
    <col min="8982" max="8990" width="2.5" customWidth="1"/>
    <col min="8991" max="8991" width="2.6640625" customWidth="1"/>
    <col min="8992" max="8992" width="5.33203125" customWidth="1"/>
    <col min="8993" max="8993" width="6" customWidth="1"/>
    <col min="8994" max="8994" width="4" customWidth="1"/>
    <col min="8995" max="8995" width="4.33203125" customWidth="1"/>
    <col min="9217" max="9217" width="14.83203125" customWidth="1"/>
    <col min="9218" max="9226" width="2.5" customWidth="1"/>
    <col min="9227" max="9227" width="2.6640625" customWidth="1"/>
    <col min="9228" max="9236" width="2.5" customWidth="1"/>
    <col min="9237" max="9237" width="2.6640625" customWidth="1"/>
    <col min="9238" max="9246" width="2.5" customWidth="1"/>
    <col min="9247" max="9247" width="2.6640625" customWidth="1"/>
    <col min="9248" max="9248" width="5.33203125" customWidth="1"/>
    <col min="9249" max="9249" width="6" customWidth="1"/>
    <col min="9250" max="9250" width="4" customWidth="1"/>
    <col min="9251" max="9251" width="4.33203125" customWidth="1"/>
    <col min="9473" max="9473" width="14.83203125" customWidth="1"/>
    <col min="9474" max="9482" width="2.5" customWidth="1"/>
    <col min="9483" max="9483" width="2.6640625" customWidth="1"/>
    <col min="9484" max="9492" width="2.5" customWidth="1"/>
    <col min="9493" max="9493" width="2.6640625" customWidth="1"/>
    <col min="9494" max="9502" width="2.5" customWidth="1"/>
    <col min="9503" max="9503" width="2.6640625" customWidth="1"/>
    <col min="9504" max="9504" width="5.33203125" customWidth="1"/>
    <col min="9505" max="9505" width="6" customWidth="1"/>
    <col min="9506" max="9506" width="4" customWidth="1"/>
    <col min="9507" max="9507" width="4.33203125" customWidth="1"/>
    <col min="9729" max="9729" width="14.83203125" customWidth="1"/>
    <col min="9730" max="9738" width="2.5" customWidth="1"/>
    <col min="9739" max="9739" width="2.6640625" customWidth="1"/>
    <col min="9740" max="9748" width="2.5" customWidth="1"/>
    <col min="9749" max="9749" width="2.6640625" customWidth="1"/>
    <col min="9750" max="9758" width="2.5" customWidth="1"/>
    <col min="9759" max="9759" width="2.6640625" customWidth="1"/>
    <col min="9760" max="9760" width="5.33203125" customWidth="1"/>
    <col min="9761" max="9761" width="6" customWidth="1"/>
    <col min="9762" max="9762" width="4" customWidth="1"/>
    <col min="9763" max="9763" width="4.33203125" customWidth="1"/>
    <col min="9985" max="9985" width="14.83203125" customWidth="1"/>
    <col min="9986" max="9994" width="2.5" customWidth="1"/>
    <col min="9995" max="9995" width="2.6640625" customWidth="1"/>
    <col min="9996" max="10004" width="2.5" customWidth="1"/>
    <col min="10005" max="10005" width="2.6640625" customWidth="1"/>
    <col min="10006" max="10014" width="2.5" customWidth="1"/>
    <col min="10015" max="10015" width="2.6640625" customWidth="1"/>
    <col min="10016" max="10016" width="5.33203125" customWidth="1"/>
    <col min="10017" max="10017" width="6" customWidth="1"/>
    <col min="10018" max="10018" width="4" customWidth="1"/>
    <col min="10019" max="10019" width="4.33203125" customWidth="1"/>
    <col min="10241" max="10241" width="14.83203125" customWidth="1"/>
    <col min="10242" max="10250" width="2.5" customWidth="1"/>
    <col min="10251" max="10251" width="2.6640625" customWidth="1"/>
    <col min="10252" max="10260" width="2.5" customWidth="1"/>
    <col min="10261" max="10261" width="2.6640625" customWidth="1"/>
    <col min="10262" max="10270" width="2.5" customWidth="1"/>
    <col min="10271" max="10271" width="2.6640625" customWidth="1"/>
    <col min="10272" max="10272" width="5.33203125" customWidth="1"/>
    <col min="10273" max="10273" width="6" customWidth="1"/>
    <col min="10274" max="10274" width="4" customWidth="1"/>
    <col min="10275" max="10275" width="4.33203125" customWidth="1"/>
    <col min="10497" max="10497" width="14.83203125" customWidth="1"/>
    <col min="10498" max="10506" width="2.5" customWidth="1"/>
    <col min="10507" max="10507" width="2.6640625" customWidth="1"/>
    <col min="10508" max="10516" width="2.5" customWidth="1"/>
    <col min="10517" max="10517" width="2.6640625" customWidth="1"/>
    <col min="10518" max="10526" width="2.5" customWidth="1"/>
    <col min="10527" max="10527" width="2.6640625" customWidth="1"/>
    <col min="10528" max="10528" width="5.33203125" customWidth="1"/>
    <col min="10529" max="10529" width="6" customWidth="1"/>
    <col min="10530" max="10530" width="4" customWidth="1"/>
    <col min="10531" max="10531" width="4.33203125" customWidth="1"/>
    <col min="10753" max="10753" width="14.83203125" customWidth="1"/>
    <col min="10754" max="10762" width="2.5" customWidth="1"/>
    <col min="10763" max="10763" width="2.6640625" customWidth="1"/>
    <col min="10764" max="10772" width="2.5" customWidth="1"/>
    <col min="10773" max="10773" width="2.6640625" customWidth="1"/>
    <col min="10774" max="10782" width="2.5" customWidth="1"/>
    <col min="10783" max="10783" width="2.6640625" customWidth="1"/>
    <col min="10784" max="10784" width="5.33203125" customWidth="1"/>
    <col min="10785" max="10785" width="6" customWidth="1"/>
    <col min="10786" max="10786" width="4" customWidth="1"/>
    <col min="10787" max="10787" width="4.33203125" customWidth="1"/>
    <col min="11009" max="11009" width="14.83203125" customWidth="1"/>
    <col min="11010" max="11018" width="2.5" customWidth="1"/>
    <col min="11019" max="11019" width="2.6640625" customWidth="1"/>
    <col min="11020" max="11028" width="2.5" customWidth="1"/>
    <col min="11029" max="11029" width="2.6640625" customWidth="1"/>
    <col min="11030" max="11038" width="2.5" customWidth="1"/>
    <col min="11039" max="11039" width="2.6640625" customWidth="1"/>
    <col min="11040" max="11040" width="5.33203125" customWidth="1"/>
    <col min="11041" max="11041" width="6" customWidth="1"/>
    <col min="11042" max="11042" width="4" customWidth="1"/>
    <col min="11043" max="11043" width="4.33203125" customWidth="1"/>
    <col min="11265" max="11265" width="14.83203125" customWidth="1"/>
    <col min="11266" max="11274" width="2.5" customWidth="1"/>
    <col min="11275" max="11275" width="2.6640625" customWidth="1"/>
    <col min="11276" max="11284" width="2.5" customWidth="1"/>
    <col min="11285" max="11285" width="2.6640625" customWidth="1"/>
    <col min="11286" max="11294" width="2.5" customWidth="1"/>
    <col min="11295" max="11295" width="2.6640625" customWidth="1"/>
    <col min="11296" max="11296" width="5.33203125" customWidth="1"/>
    <col min="11297" max="11297" width="6" customWidth="1"/>
    <col min="11298" max="11298" width="4" customWidth="1"/>
    <col min="11299" max="11299" width="4.33203125" customWidth="1"/>
    <col min="11521" max="11521" width="14.83203125" customWidth="1"/>
    <col min="11522" max="11530" width="2.5" customWidth="1"/>
    <col min="11531" max="11531" width="2.6640625" customWidth="1"/>
    <col min="11532" max="11540" width="2.5" customWidth="1"/>
    <col min="11541" max="11541" width="2.6640625" customWidth="1"/>
    <col min="11542" max="11550" width="2.5" customWidth="1"/>
    <col min="11551" max="11551" width="2.6640625" customWidth="1"/>
    <col min="11552" max="11552" width="5.33203125" customWidth="1"/>
    <col min="11553" max="11553" width="6" customWidth="1"/>
    <col min="11554" max="11554" width="4" customWidth="1"/>
    <col min="11555" max="11555" width="4.33203125" customWidth="1"/>
    <col min="11777" max="11777" width="14.83203125" customWidth="1"/>
    <col min="11778" max="11786" width="2.5" customWidth="1"/>
    <col min="11787" max="11787" width="2.6640625" customWidth="1"/>
    <col min="11788" max="11796" width="2.5" customWidth="1"/>
    <col min="11797" max="11797" width="2.6640625" customWidth="1"/>
    <col min="11798" max="11806" width="2.5" customWidth="1"/>
    <col min="11807" max="11807" width="2.6640625" customWidth="1"/>
    <col min="11808" max="11808" width="5.33203125" customWidth="1"/>
    <col min="11809" max="11809" width="6" customWidth="1"/>
    <col min="11810" max="11810" width="4" customWidth="1"/>
    <col min="11811" max="11811" width="4.33203125" customWidth="1"/>
    <col min="12033" max="12033" width="14.83203125" customWidth="1"/>
    <col min="12034" max="12042" width="2.5" customWidth="1"/>
    <col min="12043" max="12043" width="2.6640625" customWidth="1"/>
    <col min="12044" max="12052" width="2.5" customWidth="1"/>
    <col min="12053" max="12053" width="2.6640625" customWidth="1"/>
    <col min="12054" max="12062" width="2.5" customWidth="1"/>
    <col min="12063" max="12063" width="2.6640625" customWidth="1"/>
    <col min="12064" max="12064" width="5.33203125" customWidth="1"/>
    <col min="12065" max="12065" width="6" customWidth="1"/>
    <col min="12066" max="12066" width="4" customWidth="1"/>
    <col min="12067" max="12067" width="4.33203125" customWidth="1"/>
    <col min="12289" max="12289" width="14.83203125" customWidth="1"/>
    <col min="12290" max="12298" width="2.5" customWidth="1"/>
    <col min="12299" max="12299" width="2.6640625" customWidth="1"/>
    <col min="12300" max="12308" width="2.5" customWidth="1"/>
    <col min="12309" max="12309" width="2.6640625" customWidth="1"/>
    <col min="12310" max="12318" width="2.5" customWidth="1"/>
    <col min="12319" max="12319" width="2.6640625" customWidth="1"/>
    <col min="12320" max="12320" width="5.33203125" customWidth="1"/>
    <col min="12321" max="12321" width="6" customWidth="1"/>
    <col min="12322" max="12322" width="4" customWidth="1"/>
    <col min="12323" max="12323" width="4.33203125" customWidth="1"/>
    <col min="12545" max="12545" width="14.83203125" customWidth="1"/>
    <col min="12546" max="12554" width="2.5" customWidth="1"/>
    <col min="12555" max="12555" width="2.6640625" customWidth="1"/>
    <col min="12556" max="12564" width="2.5" customWidth="1"/>
    <col min="12565" max="12565" width="2.6640625" customWidth="1"/>
    <col min="12566" max="12574" width="2.5" customWidth="1"/>
    <col min="12575" max="12575" width="2.6640625" customWidth="1"/>
    <col min="12576" max="12576" width="5.33203125" customWidth="1"/>
    <col min="12577" max="12577" width="6" customWidth="1"/>
    <col min="12578" max="12578" width="4" customWidth="1"/>
    <col min="12579" max="12579" width="4.33203125" customWidth="1"/>
    <col min="12801" max="12801" width="14.83203125" customWidth="1"/>
    <col min="12802" max="12810" width="2.5" customWidth="1"/>
    <col min="12811" max="12811" width="2.6640625" customWidth="1"/>
    <col min="12812" max="12820" width="2.5" customWidth="1"/>
    <col min="12821" max="12821" width="2.6640625" customWidth="1"/>
    <col min="12822" max="12830" width="2.5" customWidth="1"/>
    <col min="12831" max="12831" width="2.6640625" customWidth="1"/>
    <col min="12832" max="12832" width="5.33203125" customWidth="1"/>
    <col min="12833" max="12833" width="6" customWidth="1"/>
    <col min="12834" max="12834" width="4" customWidth="1"/>
    <col min="12835" max="12835" width="4.33203125" customWidth="1"/>
    <col min="13057" max="13057" width="14.83203125" customWidth="1"/>
    <col min="13058" max="13066" width="2.5" customWidth="1"/>
    <col min="13067" max="13067" width="2.6640625" customWidth="1"/>
    <col min="13068" max="13076" width="2.5" customWidth="1"/>
    <col min="13077" max="13077" width="2.6640625" customWidth="1"/>
    <col min="13078" max="13086" width="2.5" customWidth="1"/>
    <col min="13087" max="13087" width="2.6640625" customWidth="1"/>
    <col min="13088" max="13088" width="5.33203125" customWidth="1"/>
    <col min="13089" max="13089" width="6" customWidth="1"/>
    <col min="13090" max="13090" width="4" customWidth="1"/>
    <col min="13091" max="13091" width="4.33203125" customWidth="1"/>
    <col min="13313" max="13313" width="14.83203125" customWidth="1"/>
    <col min="13314" max="13322" width="2.5" customWidth="1"/>
    <col min="13323" max="13323" width="2.6640625" customWidth="1"/>
    <col min="13324" max="13332" width="2.5" customWidth="1"/>
    <col min="13333" max="13333" width="2.6640625" customWidth="1"/>
    <col min="13334" max="13342" width="2.5" customWidth="1"/>
    <col min="13343" max="13343" width="2.6640625" customWidth="1"/>
    <col min="13344" max="13344" width="5.33203125" customWidth="1"/>
    <col min="13345" max="13345" width="6" customWidth="1"/>
    <col min="13346" max="13346" width="4" customWidth="1"/>
    <col min="13347" max="13347" width="4.33203125" customWidth="1"/>
    <col min="13569" max="13569" width="14.83203125" customWidth="1"/>
    <col min="13570" max="13578" width="2.5" customWidth="1"/>
    <col min="13579" max="13579" width="2.6640625" customWidth="1"/>
    <col min="13580" max="13588" width="2.5" customWidth="1"/>
    <col min="13589" max="13589" width="2.6640625" customWidth="1"/>
    <col min="13590" max="13598" width="2.5" customWidth="1"/>
    <col min="13599" max="13599" width="2.6640625" customWidth="1"/>
    <col min="13600" max="13600" width="5.33203125" customWidth="1"/>
    <col min="13601" max="13601" width="6" customWidth="1"/>
    <col min="13602" max="13602" width="4" customWidth="1"/>
    <col min="13603" max="13603" width="4.33203125" customWidth="1"/>
    <col min="13825" max="13825" width="14.83203125" customWidth="1"/>
    <col min="13826" max="13834" width="2.5" customWidth="1"/>
    <col min="13835" max="13835" width="2.6640625" customWidth="1"/>
    <col min="13836" max="13844" width="2.5" customWidth="1"/>
    <col min="13845" max="13845" width="2.6640625" customWidth="1"/>
    <col min="13846" max="13854" width="2.5" customWidth="1"/>
    <col min="13855" max="13855" width="2.6640625" customWidth="1"/>
    <col min="13856" max="13856" width="5.33203125" customWidth="1"/>
    <col min="13857" max="13857" width="6" customWidth="1"/>
    <col min="13858" max="13858" width="4" customWidth="1"/>
    <col min="13859" max="13859" width="4.33203125" customWidth="1"/>
    <col min="14081" max="14081" width="14.83203125" customWidth="1"/>
    <col min="14082" max="14090" width="2.5" customWidth="1"/>
    <col min="14091" max="14091" width="2.6640625" customWidth="1"/>
    <col min="14092" max="14100" width="2.5" customWidth="1"/>
    <col min="14101" max="14101" width="2.6640625" customWidth="1"/>
    <col min="14102" max="14110" width="2.5" customWidth="1"/>
    <col min="14111" max="14111" width="2.6640625" customWidth="1"/>
    <col min="14112" max="14112" width="5.33203125" customWidth="1"/>
    <col min="14113" max="14113" width="6" customWidth="1"/>
    <col min="14114" max="14114" width="4" customWidth="1"/>
    <col min="14115" max="14115" width="4.33203125" customWidth="1"/>
    <col min="14337" max="14337" width="14.83203125" customWidth="1"/>
    <col min="14338" max="14346" width="2.5" customWidth="1"/>
    <col min="14347" max="14347" width="2.6640625" customWidth="1"/>
    <col min="14348" max="14356" width="2.5" customWidth="1"/>
    <col min="14357" max="14357" width="2.6640625" customWidth="1"/>
    <col min="14358" max="14366" width="2.5" customWidth="1"/>
    <col min="14367" max="14367" width="2.6640625" customWidth="1"/>
    <col min="14368" max="14368" width="5.33203125" customWidth="1"/>
    <col min="14369" max="14369" width="6" customWidth="1"/>
    <col min="14370" max="14370" width="4" customWidth="1"/>
    <col min="14371" max="14371" width="4.33203125" customWidth="1"/>
    <col min="14593" max="14593" width="14.83203125" customWidth="1"/>
    <col min="14594" max="14602" width="2.5" customWidth="1"/>
    <col min="14603" max="14603" width="2.6640625" customWidth="1"/>
    <col min="14604" max="14612" width="2.5" customWidth="1"/>
    <col min="14613" max="14613" width="2.6640625" customWidth="1"/>
    <col min="14614" max="14622" width="2.5" customWidth="1"/>
    <col min="14623" max="14623" width="2.6640625" customWidth="1"/>
    <col min="14624" max="14624" width="5.33203125" customWidth="1"/>
    <col min="14625" max="14625" width="6" customWidth="1"/>
    <col min="14626" max="14626" width="4" customWidth="1"/>
    <col min="14627" max="14627" width="4.33203125" customWidth="1"/>
    <col min="14849" max="14849" width="14.83203125" customWidth="1"/>
    <col min="14850" max="14858" width="2.5" customWidth="1"/>
    <col min="14859" max="14859" width="2.6640625" customWidth="1"/>
    <col min="14860" max="14868" width="2.5" customWidth="1"/>
    <col min="14869" max="14869" width="2.6640625" customWidth="1"/>
    <col min="14870" max="14878" width="2.5" customWidth="1"/>
    <col min="14879" max="14879" width="2.6640625" customWidth="1"/>
    <col min="14880" max="14880" width="5.33203125" customWidth="1"/>
    <col min="14881" max="14881" width="6" customWidth="1"/>
    <col min="14882" max="14882" width="4" customWidth="1"/>
    <col min="14883" max="14883" width="4.33203125" customWidth="1"/>
    <col min="15105" max="15105" width="14.83203125" customWidth="1"/>
    <col min="15106" max="15114" width="2.5" customWidth="1"/>
    <col min="15115" max="15115" width="2.6640625" customWidth="1"/>
    <col min="15116" max="15124" width="2.5" customWidth="1"/>
    <col min="15125" max="15125" width="2.6640625" customWidth="1"/>
    <col min="15126" max="15134" width="2.5" customWidth="1"/>
    <col min="15135" max="15135" width="2.6640625" customWidth="1"/>
    <col min="15136" max="15136" width="5.33203125" customWidth="1"/>
    <col min="15137" max="15137" width="6" customWidth="1"/>
    <col min="15138" max="15138" width="4" customWidth="1"/>
    <col min="15139" max="15139" width="4.33203125" customWidth="1"/>
    <col min="15361" max="15361" width="14.83203125" customWidth="1"/>
    <col min="15362" max="15370" width="2.5" customWidth="1"/>
    <col min="15371" max="15371" width="2.6640625" customWidth="1"/>
    <col min="15372" max="15380" width="2.5" customWidth="1"/>
    <col min="15381" max="15381" width="2.6640625" customWidth="1"/>
    <col min="15382" max="15390" width="2.5" customWidth="1"/>
    <col min="15391" max="15391" width="2.6640625" customWidth="1"/>
    <col min="15392" max="15392" width="5.33203125" customWidth="1"/>
    <col min="15393" max="15393" width="6" customWidth="1"/>
    <col min="15394" max="15394" width="4" customWidth="1"/>
    <col min="15395" max="15395" width="4.33203125" customWidth="1"/>
    <col min="15617" max="15617" width="14.83203125" customWidth="1"/>
    <col min="15618" max="15626" width="2.5" customWidth="1"/>
    <col min="15627" max="15627" width="2.6640625" customWidth="1"/>
    <col min="15628" max="15636" width="2.5" customWidth="1"/>
    <col min="15637" max="15637" width="2.6640625" customWidth="1"/>
    <col min="15638" max="15646" width="2.5" customWidth="1"/>
    <col min="15647" max="15647" width="2.6640625" customWidth="1"/>
    <col min="15648" max="15648" width="5.33203125" customWidth="1"/>
    <col min="15649" max="15649" width="6" customWidth="1"/>
    <col min="15650" max="15650" width="4" customWidth="1"/>
    <col min="15651" max="15651" width="4.33203125" customWidth="1"/>
    <col min="15873" max="15873" width="14.83203125" customWidth="1"/>
    <col min="15874" max="15882" width="2.5" customWidth="1"/>
    <col min="15883" max="15883" width="2.6640625" customWidth="1"/>
    <col min="15884" max="15892" width="2.5" customWidth="1"/>
    <col min="15893" max="15893" width="2.6640625" customWidth="1"/>
    <col min="15894" max="15902" width="2.5" customWidth="1"/>
    <col min="15903" max="15903" width="2.6640625" customWidth="1"/>
    <col min="15904" max="15904" width="5.33203125" customWidth="1"/>
    <col min="15905" max="15905" width="6" customWidth="1"/>
    <col min="15906" max="15906" width="4" customWidth="1"/>
    <col min="15907" max="15907" width="4.33203125" customWidth="1"/>
    <col min="16129" max="16129" width="14.83203125" customWidth="1"/>
    <col min="16130" max="16138" width="2.5" customWidth="1"/>
    <col min="16139" max="16139" width="2.6640625" customWidth="1"/>
    <col min="16140" max="16148" width="2.5" customWidth="1"/>
    <col min="16149" max="16149" width="2.6640625" customWidth="1"/>
    <col min="16150" max="16158" width="2.5" customWidth="1"/>
    <col min="16159" max="16159" width="2.6640625" customWidth="1"/>
    <col min="16160" max="16160" width="5.33203125" customWidth="1"/>
    <col min="16161" max="16161" width="6" customWidth="1"/>
    <col min="16162" max="16162" width="4" customWidth="1"/>
    <col min="16163" max="16163" width="4.33203125" customWidth="1"/>
  </cols>
  <sheetData>
    <row r="1" spans="1:35" ht="12.75" customHeight="1">
      <c r="A1" s="2094" t="s">
        <v>2932</v>
      </c>
      <c r="B1" s="2095"/>
      <c r="C1" s="2095"/>
      <c r="D1" s="2095"/>
      <c r="E1" s="2095"/>
      <c r="F1" s="2095"/>
      <c r="G1" s="2095"/>
      <c r="H1" s="2095"/>
      <c r="I1" s="2095"/>
      <c r="J1" s="2095"/>
      <c r="K1" s="2095"/>
      <c r="L1" s="2095"/>
      <c r="M1" s="2095"/>
      <c r="N1" s="2095"/>
      <c r="O1" s="2095"/>
      <c r="P1" s="2095"/>
      <c r="Q1" s="2095"/>
      <c r="R1" s="2095"/>
      <c r="S1" s="2095"/>
      <c r="T1" s="2095"/>
      <c r="U1" s="2095"/>
      <c r="V1" s="2095"/>
      <c r="W1" s="2095"/>
      <c r="X1" s="2095"/>
      <c r="Y1" s="2095"/>
      <c r="Z1" s="2095"/>
      <c r="AA1" s="2095"/>
      <c r="AB1" s="2095"/>
      <c r="AC1" s="2095"/>
      <c r="AD1" s="2095"/>
      <c r="AE1" s="2095"/>
      <c r="AF1" s="2095"/>
      <c r="AG1" s="2095"/>
      <c r="AH1" s="2095"/>
      <c r="AI1" s="2096"/>
    </row>
    <row r="2" spans="1:35" s="37" customFormat="1" ht="18.75" customHeight="1">
      <c r="A2" s="2097" t="s">
        <v>2931</v>
      </c>
      <c r="B2" s="2098"/>
      <c r="C2" s="2098"/>
      <c r="D2" s="2098" t="s">
        <v>2895</v>
      </c>
      <c r="E2" s="2098"/>
      <c r="F2" s="2098"/>
      <c r="G2" s="2098"/>
      <c r="H2" s="2098"/>
      <c r="I2" s="2098"/>
      <c r="J2" s="2098"/>
      <c r="K2" s="2098" t="s">
        <v>2894</v>
      </c>
      <c r="L2" s="2098"/>
      <c r="M2" s="2098"/>
      <c r="N2" s="2098"/>
      <c r="O2" s="2098"/>
      <c r="P2" s="2098"/>
      <c r="Q2" s="2098"/>
      <c r="R2" s="2098"/>
      <c r="S2" s="2098"/>
      <c r="T2" s="2098"/>
      <c r="U2" s="2098"/>
      <c r="V2" s="2098"/>
      <c r="W2" s="2098"/>
      <c r="X2" s="2098" t="s">
        <v>2930</v>
      </c>
      <c r="Y2" s="2098"/>
      <c r="Z2" s="2098"/>
      <c r="AA2" s="2098"/>
      <c r="AB2" s="2098"/>
      <c r="AC2" s="2098"/>
      <c r="AD2" s="2098"/>
      <c r="AE2" s="2098"/>
      <c r="AF2" s="2098"/>
      <c r="AG2" s="2098" t="s">
        <v>2929</v>
      </c>
      <c r="AH2" s="2098"/>
      <c r="AI2" s="2099"/>
    </row>
    <row r="3" spans="1:35" s="37" customFormat="1" ht="21.75" customHeight="1">
      <c r="A3" s="2187" t="s">
        <v>2891</v>
      </c>
      <c r="B3" s="2165"/>
      <c r="C3" s="2165" t="s">
        <v>2890</v>
      </c>
      <c r="D3" s="2165"/>
      <c r="E3" s="2165"/>
      <c r="F3" s="2165"/>
      <c r="G3" s="2165"/>
      <c r="H3" s="2165"/>
      <c r="I3" s="2165"/>
      <c r="J3" s="2165"/>
      <c r="K3" s="2165"/>
      <c r="L3" s="2165"/>
      <c r="M3" s="2165"/>
      <c r="N3" s="2165"/>
      <c r="O3" s="2165"/>
      <c r="P3" s="2165"/>
      <c r="Q3" s="2165"/>
      <c r="R3" s="2165"/>
      <c r="S3" s="2165"/>
      <c r="T3" s="2188" t="s">
        <v>2889</v>
      </c>
      <c r="U3" s="2189"/>
      <c r="V3" s="2189"/>
      <c r="W3" s="2190" t="s">
        <v>2888</v>
      </c>
      <c r="X3" s="2190"/>
      <c r="Y3" s="2191"/>
      <c r="Z3" s="2165" t="s">
        <v>2887</v>
      </c>
      <c r="AA3" s="2165"/>
      <c r="AB3" s="2165"/>
      <c r="AC3" s="2165"/>
      <c r="AD3" s="2165"/>
      <c r="AE3" s="2165"/>
      <c r="AF3" s="2165"/>
      <c r="AG3" s="2165"/>
      <c r="AH3" s="2165"/>
      <c r="AI3" s="2166"/>
    </row>
    <row r="4" spans="1:35" s="37" customFormat="1" ht="21" customHeight="1">
      <c r="A4" s="1564" t="s">
        <v>2928</v>
      </c>
      <c r="B4" s="2165" t="s">
        <v>2927</v>
      </c>
      <c r="C4" s="2165"/>
      <c r="D4" s="2165"/>
      <c r="E4" s="2165"/>
      <c r="F4" s="2165"/>
      <c r="G4" s="2165" t="s">
        <v>2926</v>
      </c>
      <c r="H4" s="2165"/>
      <c r="I4" s="2165"/>
      <c r="J4" s="2165"/>
      <c r="K4" s="2165"/>
      <c r="L4" s="2165" t="s">
        <v>2925</v>
      </c>
      <c r="M4" s="2165"/>
      <c r="N4" s="2165"/>
      <c r="O4" s="2165"/>
      <c r="P4" s="2165"/>
      <c r="Q4" s="2165" t="s">
        <v>2924</v>
      </c>
      <c r="R4" s="2165"/>
      <c r="S4" s="2165"/>
      <c r="T4" s="2165"/>
      <c r="U4" s="2165"/>
      <c r="V4" s="2165"/>
      <c r="W4" s="2165" t="s">
        <v>2923</v>
      </c>
      <c r="X4" s="2165"/>
      <c r="Y4" s="2165"/>
      <c r="Z4" s="2165"/>
      <c r="AA4" s="2165"/>
      <c r="AB4" s="2165"/>
      <c r="AC4" s="2165"/>
      <c r="AD4" s="2165"/>
      <c r="AE4" s="2165"/>
      <c r="AF4" s="2165"/>
      <c r="AG4" s="2165"/>
      <c r="AH4" s="2165"/>
      <c r="AI4" s="2166"/>
    </row>
    <row r="5" spans="1:35" s="37" customFormat="1" ht="26.25" customHeight="1" thickBot="1">
      <c r="A5" s="1563" t="s">
        <v>2922</v>
      </c>
      <c r="B5" s="1561"/>
      <c r="C5" s="1561"/>
      <c r="D5" s="1561"/>
      <c r="E5" s="1561"/>
      <c r="F5" s="1561"/>
      <c r="G5" s="1561"/>
      <c r="H5" s="1561" t="s">
        <v>2921</v>
      </c>
      <c r="I5" s="1561"/>
      <c r="J5" s="1561"/>
      <c r="K5" s="1561"/>
      <c r="L5" s="1561"/>
      <c r="M5" s="1561"/>
      <c r="N5" s="1561"/>
      <c r="O5" s="1561"/>
      <c r="P5" s="1561"/>
      <c r="Q5" s="1561"/>
      <c r="R5" s="1561"/>
      <c r="S5" s="1562"/>
      <c r="T5" s="1561"/>
      <c r="U5" s="1561"/>
      <c r="V5" s="1561"/>
      <c r="W5" s="2172" t="s">
        <v>2920</v>
      </c>
      <c r="X5" s="2173"/>
      <c r="Y5" s="2173"/>
      <c r="Z5" s="2173"/>
      <c r="AA5" s="2173"/>
      <c r="AB5" s="2173"/>
      <c r="AC5" s="2173"/>
      <c r="AD5" s="2173"/>
      <c r="AE5" s="2173"/>
      <c r="AF5" s="1560" t="s">
        <v>2919</v>
      </c>
      <c r="AG5" s="1559" t="s">
        <v>2918</v>
      </c>
      <c r="AH5" s="2174" t="s">
        <v>2917</v>
      </c>
      <c r="AI5" s="2175"/>
    </row>
    <row r="6" spans="1:35" s="37" customFormat="1" ht="19.5" customHeight="1" thickBot="1">
      <c r="A6" s="1558" t="s">
        <v>2916</v>
      </c>
      <c r="B6" s="2176" t="s">
        <v>2915</v>
      </c>
      <c r="C6" s="2177"/>
      <c r="D6" s="2177"/>
      <c r="E6" s="2177"/>
      <c r="F6" s="2177"/>
      <c r="G6" s="2177"/>
      <c r="H6" s="2177"/>
      <c r="I6" s="2177"/>
      <c r="J6" s="2177"/>
      <c r="K6" s="2177"/>
      <c r="L6" s="2177"/>
      <c r="M6" s="2177"/>
      <c r="N6" s="2177"/>
      <c r="O6" s="2177"/>
      <c r="P6" s="2177"/>
      <c r="Q6" s="2177"/>
      <c r="R6" s="2177"/>
      <c r="S6" s="2177"/>
      <c r="T6" s="2177"/>
      <c r="U6" s="2177"/>
      <c r="V6" s="2177"/>
      <c r="W6" s="2177"/>
      <c r="X6" s="2177"/>
      <c r="Y6" s="2177"/>
      <c r="Z6" s="2177"/>
      <c r="AA6" s="2177"/>
      <c r="AB6" s="2177"/>
      <c r="AC6" s="2177"/>
      <c r="AD6" s="2177"/>
      <c r="AE6" s="2178"/>
      <c r="AF6" s="1557" t="s">
        <v>76</v>
      </c>
      <c r="AG6" s="1556" t="s">
        <v>454</v>
      </c>
      <c r="AH6" s="2170" t="s">
        <v>2199</v>
      </c>
      <c r="AI6" s="2171"/>
    </row>
    <row r="7" spans="1:35" s="37" customFormat="1" thickTop="1">
      <c r="A7" s="1555" t="s">
        <v>2914</v>
      </c>
      <c r="B7" s="2179"/>
      <c r="C7" s="2180"/>
      <c r="D7" s="2180"/>
      <c r="E7" s="2180"/>
      <c r="F7" s="2180"/>
      <c r="G7" s="2180"/>
      <c r="H7" s="2180"/>
      <c r="I7" s="2180"/>
      <c r="J7" s="2180"/>
      <c r="K7" s="2180"/>
      <c r="L7" s="2180"/>
      <c r="M7" s="2180"/>
      <c r="N7" s="2180"/>
      <c r="O7" s="2180"/>
      <c r="P7" s="2180"/>
      <c r="Q7" s="2180"/>
      <c r="R7" s="2180"/>
      <c r="S7" s="2180"/>
      <c r="T7" s="2180"/>
      <c r="U7" s="2180"/>
      <c r="V7" s="2180"/>
      <c r="W7" s="2180"/>
      <c r="X7" s="2180"/>
      <c r="Y7" s="2180"/>
      <c r="Z7" s="2180"/>
      <c r="AA7" s="2180"/>
      <c r="AB7" s="2180"/>
      <c r="AC7" s="2180"/>
      <c r="AD7" s="2180"/>
      <c r="AE7" s="2181"/>
      <c r="AF7" s="1552"/>
      <c r="AG7" s="1551"/>
      <c r="AH7" s="2182"/>
      <c r="AI7" s="2183"/>
    </row>
    <row r="8" spans="1:35" s="37" customFormat="1" ht="13">
      <c r="A8" s="1487" t="s">
        <v>2913</v>
      </c>
      <c r="B8" s="2152"/>
      <c r="C8" s="2153"/>
      <c r="D8" s="2153"/>
      <c r="E8" s="2153"/>
      <c r="F8" s="2153"/>
      <c r="G8" s="2153"/>
      <c r="H8" s="2153"/>
      <c r="I8" s="2153"/>
      <c r="J8" s="2153"/>
      <c r="K8" s="2153"/>
      <c r="L8" s="2153"/>
      <c r="M8" s="2153"/>
      <c r="N8" s="2153"/>
      <c r="O8" s="2153"/>
      <c r="P8" s="2153"/>
      <c r="Q8" s="2153"/>
      <c r="R8" s="2153"/>
      <c r="S8" s="2153"/>
      <c r="T8" s="2153"/>
      <c r="U8" s="2153"/>
      <c r="V8" s="2153"/>
      <c r="W8" s="2153"/>
      <c r="X8" s="2153"/>
      <c r="Y8" s="2153"/>
      <c r="Z8" s="2153"/>
      <c r="AA8" s="2153"/>
      <c r="AB8" s="2153"/>
      <c r="AC8" s="2153"/>
      <c r="AD8" s="2153"/>
      <c r="AE8" s="2154"/>
      <c r="AF8" s="1554"/>
      <c r="AG8" s="1553"/>
      <c r="AH8" s="2155"/>
      <c r="AI8" s="2156"/>
    </row>
    <row r="9" spans="1:35" s="37" customFormat="1" ht="13">
      <c r="A9" s="1488" t="s">
        <v>2912</v>
      </c>
      <c r="B9" s="2184"/>
      <c r="C9" s="2185"/>
      <c r="D9" s="2185"/>
      <c r="E9" s="2185"/>
      <c r="F9" s="2185"/>
      <c r="G9" s="2185"/>
      <c r="H9" s="2185"/>
      <c r="I9" s="2185"/>
      <c r="J9" s="2185"/>
      <c r="K9" s="2185"/>
      <c r="L9" s="2185"/>
      <c r="M9" s="2185"/>
      <c r="N9" s="2185"/>
      <c r="O9" s="2185"/>
      <c r="P9" s="2185"/>
      <c r="Q9" s="2185"/>
      <c r="R9" s="2185"/>
      <c r="S9" s="2185"/>
      <c r="T9" s="2185"/>
      <c r="U9" s="2185"/>
      <c r="V9" s="2185"/>
      <c r="W9" s="2185"/>
      <c r="X9" s="2185"/>
      <c r="Y9" s="2185"/>
      <c r="Z9" s="2185"/>
      <c r="AA9" s="2185"/>
      <c r="AB9" s="2185"/>
      <c r="AC9" s="2185"/>
      <c r="AD9" s="2185"/>
      <c r="AE9" s="2186"/>
      <c r="AF9" s="1552"/>
      <c r="AG9" s="1551"/>
      <c r="AH9" s="2150"/>
      <c r="AI9" s="2151"/>
    </row>
    <row r="10" spans="1:35" s="37" customFormat="1" ht="13">
      <c r="A10" s="1487" t="s">
        <v>2911</v>
      </c>
      <c r="B10" s="2152"/>
      <c r="C10" s="2153"/>
      <c r="D10" s="2153"/>
      <c r="E10" s="2153"/>
      <c r="F10" s="2153"/>
      <c r="G10" s="2153"/>
      <c r="H10" s="2153"/>
      <c r="I10" s="2153"/>
      <c r="J10" s="2153"/>
      <c r="K10" s="2153"/>
      <c r="L10" s="2153"/>
      <c r="M10" s="2153"/>
      <c r="N10" s="2153"/>
      <c r="O10" s="2153"/>
      <c r="P10" s="2153"/>
      <c r="Q10" s="2153"/>
      <c r="R10" s="2153"/>
      <c r="S10" s="2153"/>
      <c r="T10" s="2153"/>
      <c r="U10" s="2153"/>
      <c r="V10" s="2153"/>
      <c r="W10" s="2153"/>
      <c r="X10" s="2153"/>
      <c r="Y10" s="2153"/>
      <c r="Z10" s="2153"/>
      <c r="AA10" s="2153"/>
      <c r="AB10" s="2153"/>
      <c r="AC10" s="2153"/>
      <c r="AD10" s="2153"/>
      <c r="AE10" s="2154"/>
      <c r="AF10" s="1554"/>
      <c r="AG10" s="1553"/>
      <c r="AH10" s="2155"/>
      <c r="AI10" s="2156"/>
    </row>
    <row r="11" spans="1:35" s="37" customFormat="1" ht="13">
      <c r="A11" s="1488" t="s">
        <v>2910</v>
      </c>
      <c r="B11" s="2184"/>
      <c r="C11" s="2185"/>
      <c r="D11" s="2185"/>
      <c r="E11" s="2185"/>
      <c r="F11" s="2185"/>
      <c r="G11" s="2185"/>
      <c r="H11" s="2185"/>
      <c r="I11" s="2185"/>
      <c r="J11" s="2185"/>
      <c r="K11" s="2185"/>
      <c r="L11" s="2185"/>
      <c r="M11" s="2185"/>
      <c r="N11" s="2185"/>
      <c r="O11" s="2185"/>
      <c r="P11" s="2185"/>
      <c r="Q11" s="2185"/>
      <c r="R11" s="2185"/>
      <c r="S11" s="2185"/>
      <c r="T11" s="2185"/>
      <c r="U11" s="2185"/>
      <c r="V11" s="2185"/>
      <c r="W11" s="2185"/>
      <c r="X11" s="2185"/>
      <c r="Y11" s="2185"/>
      <c r="Z11" s="2185"/>
      <c r="AA11" s="2185"/>
      <c r="AB11" s="2185"/>
      <c r="AC11" s="2185"/>
      <c r="AD11" s="2185"/>
      <c r="AE11" s="2186"/>
      <c r="AF11" s="1552"/>
      <c r="AG11" s="1551"/>
      <c r="AH11" s="2150"/>
      <c r="AI11" s="2151"/>
    </row>
    <row r="12" spans="1:35" s="37" customFormat="1" ht="13">
      <c r="A12" s="1487" t="s">
        <v>2909</v>
      </c>
      <c r="B12" s="2152"/>
      <c r="C12" s="2153"/>
      <c r="D12" s="2153"/>
      <c r="E12" s="2153"/>
      <c r="F12" s="2153"/>
      <c r="G12" s="2153"/>
      <c r="H12" s="2153"/>
      <c r="I12" s="2153"/>
      <c r="J12" s="2153"/>
      <c r="K12" s="2153"/>
      <c r="L12" s="2153"/>
      <c r="M12" s="2153"/>
      <c r="N12" s="2153"/>
      <c r="O12" s="2153"/>
      <c r="P12" s="2153"/>
      <c r="Q12" s="2153"/>
      <c r="R12" s="2153"/>
      <c r="S12" s="2153"/>
      <c r="T12" s="2153"/>
      <c r="U12" s="2153"/>
      <c r="V12" s="2153"/>
      <c r="W12" s="2153"/>
      <c r="X12" s="2153"/>
      <c r="Y12" s="2153"/>
      <c r="Z12" s="2153"/>
      <c r="AA12" s="2153"/>
      <c r="AB12" s="2153"/>
      <c r="AC12" s="2153"/>
      <c r="AD12" s="2153"/>
      <c r="AE12" s="2154"/>
      <c r="AF12" s="1554"/>
      <c r="AG12" s="1553"/>
      <c r="AH12" s="2155"/>
      <c r="AI12" s="2156"/>
    </row>
    <row r="13" spans="1:35" s="37" customFormat="1" ht="13">
      <c r="A13" s="1488" t="s">
        <v>2908</v>
      </c>
      <c r="B13" s="2184"/>
      <c r="C13" s="2185"/>
      <c r="D13" s="2185"/>
      <c r="E13" s="2185"/>
      <c r="F13" s="2185"/>
      <c r="G13" s="2185"/>
      <c r="H13" s="2185"/>
      <c r="I13" s="2185"/>
      <c r="J13" s="2185"/>
      <c r="K13" s="2185"/>
      <c r="L13" s="2185"/>
      <c r="M13" s="2185"/>
      <c r="N13" s="2185"/>
      <c r="O13" s="2185"/>
      <c r="P13" s="2185"/>
      <c r="Q13" s="2185"/>
      <c r="R13" s="2185"/>
      <c r="S13" s="2185"/>
      <c r="T13" s="2185"/>
      <c r="U13" s="2185"/>
      <c r="V13" s="2185"/>
      <c r="W13" s="2185"/>
      <c r="X13" s="2185"/>
      <c r="Y13" s="2185"/>
      <c r="Z13" s="2185"/>
      <c r="AA13" s="2185"/>
      <c r="AB13" s="2185"/>
      <c r="AC13" s="2185"/>
      <c r="AD13" s="2185"/>
      <c r="AE13" s="2186"/>
      <c r="AF13" s="1552"/>
      <c r="AG13" s="1551"/>
      <c r="AH13" s="2150"/>
      <c r="AI13" s="2151"/>
    </row>
    <row r="14" spans="1:35" s="37" customFormat="1" ht="13">
      <c r="A14" s="1487" t="s">
        <v>2907</v>
      </c>
      <c r="B14" s="2152"/>
      <c r="C14" s="2153"/>
      <c r="D14" s="2153"/>
      <c r="E14" s="2153"/>
      <c r="F14" s="2153"/>
      <c r="G14" s="2153"/>
      <c r="H14" s="2153"/>
      <c r="I14" s="2153"/>
      <c r="J14" s="2153"/>
      <c r="K14" s="2153"/>
      <c r="L14" s="2153"/>
      <c r="M14" s="2153"/>
      <c r="N14" s="2153"/>
      <c r="O14" s="2153"/>
      <c r="P14" s="2153"/>
      <c r="Q14" s="2153"/>
      <c r="R14" s="2153"/>
      <c r="S14" s="2153"/>
      <c r="T14" s="2153"/>
      <c r="U14" s="2153"/>
      <c r="V14" s="2153"/>
      <c r="W14" s="2153"/>
      <c r="X14" s="2153"/>
      <c r="Y14" s="2153"/>
      <c r="Z14" s="2153"/>
      <c r="AA14" s="2153"/>
      <c r="AB14" s="2153"/>
      <c r="AC14" s="2153"/>
      <c r="AD14" s="2153"/>
      <c r="AE14" s="2154"/>
      <c r="AF14" s="1554"/>
      <c r="AG14" s="1553"/>
      <c r="AH14" s="2155"/>
      <c r="AI14" s="2156"/>
    </row>
    <row r="15" spans="1:35" s="37" customFormat="1" thickBot="1">
      <c r="A15" s="1466" t="s">
        <v>2907</v>
      </c>
      <c r="B15" s="2157"/>
      <c r="C15" s="2158"/>
      <c r="D15" s="2158"/>
      <c r="E15" s="2158"/>
      <c r="F15" s="2158"/>
      <c r="G15" s="2158"/>
      <c r="H15" s="2158"/>
      <c r="I15" s="2158"/>
      <c r="J15" s="2158"/>
      <c r="K15" s="2158"/>
      <c r="L15" s="2158"/>
      <c r="M15" s="2158"/>
      <c r="N15" s="2158"/>
      <c r="O15" s="2158"/>
      <c r="P15" s="2158"/>
      <c r="Q15" s="2158"/>
      <c r="R15" s="2158"/>
      <c r="S15" s="2158"/>
      <c r="T15" s="2158"/>
      <c r="U15" s="2158"/>
      <c r="V15" s="2158"/>
      <c r="W15" s="2158"/>
      <c r="X15" s="2158"/>
      <c r="Y15" s="2158"/>
      <c r="Z15" s="2158"/>
      <c r="AA15" s="2158"/>
      <c r="AB15" s="2158"/>
      <c r="AC15" s="2158"/>
      <c r="AD15" s="2158"/>
      <c r="AE15" s="2159"/>
      <c r="AF15" s="1552"/>
      <c r="AG15" s="1551"/>
      <c r="AH15" s="2160"/>
      <c r="AI15" s="2161"/>
    </row>
    <row r="16" spans="1:35" s="37" customFormat="1" ht="37" thickBot="1">
      <c r="A16" s="1550"/>
      <c r="B16" s="2167" t="s">
        <v>2906</v>
      </c>
      <c r="C16" s="2168"/>
      <c r="D16" s="2168"/>
      <c r="E16" s="2168"/>
      <c r="F16" s="2168"/>
      <c r="G16" s="2168"/>
      <c r="H16" s="2168"/>
      <c r="I16" s="2168"/>
      <c r="J16" s="2168"/>
      <c r="K16" s="2168"/>
      <c r="L16" s="2168"/>
      <c r="M16" s="2168"/>
      <c r="N16" s="2168"/>
      <c r="O16" s="2168"/>
      <c r="P16" s="2168"/>
      <c r="Q16" s="2168"/>
      <c r="R16" s="2168"/>
      <c r="S16" s="2168"/>
      <c r="T16" s="2168"/>
      <c r="U16" s="2168"/>
      <c r="V16" s="2168"/>
      <c r="W16" s="2168"/>
      <c r="X16" s="2168"/>
      <c r="Y16" s="2168"/>
      <c r="Z16" s="2168"/>
      <c r="AA16" s="2168"/>
      <c r="AB16" s="2168"/>
      <c r="AC16" s="2168"/>
      <c r="AD16" s="2168"/>
      <c r="AE16" s="2169"/>
      <c r="AF16" s="1549" t="s">
        <v>76</v>
      </c>
      <c r="AG16" s="1548" t="s">
        <v>2905</v>
      </c>
      <c r="AH16" s="2170" t="s">
        <v>2199</v>
      </c>
      <c r="AI16" s="2171"/>
    </row>
    <row r="17" spans="1:35" s="37" customFormat="1" ht="15" thickTop="1" thickBot="1">
      <c r="A17" s="1547" t="s">
        <v>2904</v>
      </c>
      <c r="B17" s="2146" t="s">
        <v>2903</v>
      </c>
      <c r="C17" s="2147"/>
      <c r="D17" s="2147"/>
      <c r="E17" s="2147"/>
      <c r="F17" s="2148"/>
      <c r="G17" s="2149" t="s">
        <v>2902</v>
      </c>
      <c r="H17" s="2147"/>
      <c r="I17" s="2147"/>
      <c r="J17" s="2147"/>
      <c r="K17" s="2148"/>
      <c r="L17" s="2149" t="s">
        <v>2901</v>
      </c>
      <c r="M17" s="2147"/>
      <c r="N17" s="2147"/>
      <c r="O17" s="2147"/>
      <c r="P17" s="2148"/>
      <c r="Q17" s="2149" t="s">
        <v>2900</v>
      </c>
      <c r="R17" s="2147"/>
      <c r="S17" s="2147"/>
      <c r="T17" s="2147"/>
      <c r="U17" s="2148"/>
      <c r="V17" s="2149" t="s">
        <v>2899</v>
      </c>
      <c r="W17" s="2147"/>
      <c r="X17" s="2147"/>
      <c r="Y17" s="2147"/>
      <c r="Z17" s="2148"/>
      <c r="AA17" s="2149" t="s">
        <v>2898</v>
      </c>
      <c r="AB17" s="2147"/>
      <c r="AC17" s="2147"/>
      <c r="AD17" s="2147"/>
      <c r="AE17" s="2162"/>
      <c r="AF17" s="1546"/>
      <c r="AG17" s="1545"/>
      <c r="AH17" s="2163"/>
      <c r="AI17" s="2164"/>
    </row>
    <row r="18" spans="1:35" s="37" customFormat="1" thickTop="1">
      <c r="A18" s="1544"/>
      <c r="B18" s="2139"/>
      <c r="C18" s="2140"/>
      <c r="D18" s="2140"/>
      <c r="E18" s="2140"/>
      <c r="F18" s="2141"/>
      <c r="G18" s="2142"/>
      <c r="H18" s="2140"/>
      <c r="I18" s="2140"/>
      <c r="J18" s="2140"/>
      <c r="K18" s="2141"/>
      <c r="L18" s="2142"/>
      <c r="M18" s="2140"/>
      <c r="N18" s="2140"/>
      <c r="O18" s="2140"/>
      <c r="P18" s="2141"/>
      <c r="Q18" s="2142"/>
      <c r="R18" s="2140"/>
      <c r="S18" s="2140"/>
      <c r="T18" s="2140"/>
      <c r="U18" s="2141"/>
      <c r="V18" s="2142"/>
      <c r="W18" s="2140"/>
      <c r="X18" s="2140"/>
      <c r="Y18" s="2140"/>
      <c r="Z18" s="2141"/>
      <c r="AA18" s="2142"/>
      <c r="AB18" s="2140"/>
      <c r="AC18" s="2140"/>
      <c r="AD18" s="2140"/>
      <c r="AE18" s="2143"/>
      <c r="AF18" s="1543"/>
      <c r="AG18" s="1542"/>
      <c r="AH18" s="2144"/>
      <c r="AI18" s="2145"/>
    </row>
    <row r="19" spans="1:35" s="37" customFormat="1" ht="13">
      <c r="A19" s="1541"/>
      <c r="B19" s="2130"/>
      <c r="C19" s="2131"/>
      <c r="D19" s="2131"/>
      <c r="E19" s="2131"/>
      <c r="F19" s="2132"/>
      <c r="G19" s="2133"/>
      <c r="H19" s="2131"/>
      <c r="I19" s="2131"/>
      <c r="J19" s="2131"/>
      <c r="K19" s="2132"/>
      <c r="L19" s="2133"/>
      <c r="M19" s="2131"/>
      <c r="N19" s="2131"/>
      <c r="O19" s="2131"/>
      <c r="P19" s="2132"/>
      <c r="Q19" s="2133"/>
      <c r="R19" s="2131"/>
      <c r="S19" s="2131"/>
      <c r="T19" s="2131"/>
      <c r="U19" s="2132"/>
      <c r="V19" s="2133"/>
      <c r="W19" s="2131"/>
      <c r="X19" s="2131"/>
      <c r="Y19" s="2131"/>
      <c r="Z19" s="2132"/>
      <c r="AA19" s="2133"/>
      <c r="AB19" s="2131"/>
      <c r="AC19" s="2131"/>
      <c r="AD19" s="2131"/>
      <c r="AE19" s="2134"/>
      <c r="AF19" s="1540"/>
      <c r="AG19" s="1539"/>
      <c r="AH19" s="2135"/>
      <c r="AI19" s="2136"/>
    </row>
    <row r="20" spans="1:35" s="37" customFormat="1" ht="13">
      <c r="A20" s="1538"/>
      <c r="B20" s="2137"/>
      <c r="C20" s="2126"/>
      <c r="D20" s="2126"/>
      <c r="E20" s="2126"/>
      <c r="F20" s="2138"/>
      <c r="G20" s="2125"/>
      <c r="H20" s="2126"/>
      <c r="I20" s="2126"/>
      <c r="J20" s="2126"/>
      <c r="K20" s="2138"/>
      <c r="L20" s="2125"/>
      <c r="M20" s="2126"/>
      <c r="N20" s="2126"/>
      <c r="O20" s="2126"/>
      <c r="P20" s="2138"/>
      <c r="Q20" s="2125"/>
      <c r="R20" s="2126"/>
      <c r="S20" s="2126"/>
      <c r="T20" s="2126"/>
      <c r="U20" s="2138"/>
      <c r="V20" s="2125"/>
      <c r="W20" s="2126"/>
      <c r="X20" s="2126"/>
      <c r="Y20" s="2126"/>
      <c r="Z20" s="2138"/>
      <c r="AA20" s="2125"/>
      <c r="AB20" s="2126"/>
      <c r="AC20" s="2126"/>
      <c r="AD20" s="2126"/>
      <c r="AE20" s="2127"/>
      <c r="AF20" s="1537"/>
      <c r="AG20" s="1536"/>
      <c r="AH20" s="2128"/>
      <c r="AI20" s="2129"/>
    </row>
    <row r="21" spans="1:35" s="37" customFormat="1" ht="13">
      <c r="A21" s="1490"/>
      <c r="B21" s="2113"/>
      <c r="C21" s="2101"/>
      <c r="D21" s="2101"/>
      <c r="E21" s="2101"/>
      <c r="F21" s="2102"/>
      <c r="G21" s="2100"/>
      <c r="H21" s="2101"/>
      <c r="I21" s="2101"/>
      <c r="J21" s="2101"/>
      <c r="K21" s="2102"/>
      <c r="L21" s="2100"/>
      <c r="M21" s="2101"/>
      <c r="N21" s="2101"/>
      <c r="O21" s="2101"/>
      <c r="P21" s="2102"/>
      <c r="Q21" s="2100"/>
      <c r="R21" s="2101"/>
      <c r="S21" s="2101"/>
      <c r="T21" s="2101"/>
      <c r="U21" s="2102"/>
      <c r="V21" s="2100"/>
      <c r="W21" s="2101"/>
      <c r="X21" s="2101"/>
      <c r="Y21" s="2101"/>
      <c r="Z21" s="2102"/>
      <c r="AA21" s="2100"/>
      <c r="AB21" s="2101"/>
      <c r="AC21" s="2101"/>
      <c r="AD21" s="2101"/>
      <c r="AE21" s="2103"/>
      <c r="AF21" s="1531"/>
      <c r="AG21" s="1535"/>
      <c r="AH21" s="2111"/>
      <c r="AI21" s="2112"/>
    </row>
    <row r="22" spans="1:35" s="37" customFormat="1" ht="13">
      <c r="A22" s="1533"/>
      <c r="B22" s="2119"/>
      <c r="C22" s="2115"/>
      <c r="D22" s="2115"/>
      <c r="E22" s="2115"/>
      <c r="F22" s="2120"/>
      <c r="G22" s="2114"/>
      <c r="H22" s="2115"/>
      <c r="I22" s="2115"/>
      <c r="J22" s="2115"/>
      <c r="K22" s="2120"/>
      <c r="L22" s="2114"/>
      <c r="M22" s="2115"/>
      <c r="N22" s="2115"/>
      <c r="O22" s="2115"/>
      <c r="P22" s="2120"/>
      <c r="Q22" s="2114"/>
      <c r="R22" s="2115"/>
      <c r="S22" s="2115"/>
      <c r="T22" s="2115"/>
      <c r="U22" s="2120"/>
      <c r="V22" s="2114"/>
      <c r="W22" s="2115"/>
      <c r="X22" s="2115"/>
      <c r="Y22" s="2115"/>
      <c r="Z22" s="2120"/>
      <c r="AA22" s="2114"/>
      <c r="AB22" s="2115"/>
      <c r="AC22" s="2115"/>
      <c r="AD22" s="2115"/>
      <c r="AE22" s="2116"/>
      <c r="AF22" s="1532"/>
      <c r="AG22" s="1534"/>
      <c r="AH22" s="2117"/>
      <c r="AI22" s="2118"/>
    </row>
    <row r="23" spans="1:35" s="37" customFormat="1" ht="13">
      <c r="A23" s="1490"/>
      <c r="B23" s="2113"/>
      <c r="C23" s="2101"/>
      <c r="D23" s="2101"/>
      <c r="E23" s="2101"/>
      <c r="F23" s="2102"/>
      <c r="G23" s="2100"/>
      <c r="H23" s="2101"/>
      <c r="I23" s="2101"/>
      <c r="J23" s="2101"/>
      <c r="K23" s="2102"/>
      <c r="L23" s="2100"/>
      <c r="M23" s="2101"/>
      <c r="N23" s="2101"/>
      <c r="O23" s="2101"/>
      <c r="P23" s="2102"/>
      <c r="Q23" s="2100"/>
      <c r="R23" s="2101"/>
      <c r="S23" s="2101"/>
      <c r="T23" s="2101"/>
      <c r="U23" s="2102"/>
      <c r="V23" s="2100"/>
      <c r="W23" s="2101"/>
      <c r="X23" s="2101"/>
      <c r="Y23" s="2101"/>
      <c r="Z23" s="2102"/>
      <c r="AA23" s="2100"/>
      <c r="AB23" s="2101"/>
      <c r="AC23" s="2101"/>
      <c r="AD23" s="2101"/>
      <c r="AE23" s="2103"/>
      <c r="AF23" s="1531"/>
      <c r="AG23" s="1535"/>
      <c r="AH23" s="2111"/>
      <c r="AI23" s="2112"/>
    </row>
    <row r="24" spans="1:35" s="37" customFormat="1" ht="13">
      <c r="A24" s="1533"/>
      <c r="B24" s="2119"/>
      <c r="C24" s="2115"/>
      <c r="D24" s="2115"/>
      <c r="E24" s="2115"/>
      <c r="F24" s="2120"/>
      <c r="G24" s="2114"/>
      <c r="H24" s="2115"/>
      <c r="I24" s="2115"/>
      <c r="J24" s="2115"/>
      <c r="K24" s="2120"/>
      <c r="L24" s="2114"/>
      <c r="M24" s="2115"/>
      <c r="N24" s="2115"/>
      <c r="O24" s="2115"/>
      <c r="P24" s="2120"/>
      <c r="Q24" s="2114"/>
      <c r="R24" s="2115"/>
      <c r="S24" s="2115"/>
      <c r="T24" s="2115"/>
      <c r="U24" s="2120"/>
      <c r="V24" s="2114"/>
      <c r="W24" s="2115"/>
      <c r="X24" s="2115"/>
      <c r="Y24" s="2115"/>
      <c r="Z24" s="2120"/>
      <c r="AA24" s="2114"/>
      <c r="AB24" s="2115"/>
      <c r="AC24" s="2115"/>
      <c r="AD24" s="2115"/>
      <c r="AE24" s="2116"/>
      <c r="AF24" s="1532"/>
      <c r="AG24" s="1534"/>
      <c r="AH24" s="2117"/>
      <c r="AI24" s="2118"/>
    </row>
    <row r="25" spans="1:35" s="37" customFormat="1" ht="13">
      <c r="A25" s="1490"/>
      <c r="B25" s="2113"/>
      <c r="C25" s="2101"/>
      <c r="D25" s="2101"/>
      <c r="E25" s="2101"/>
      <c r="F25" s="2102"/>
      <c r="G25" s="2100"/>
      <c r="H25" s="2101"/>
      <c r="I25" s="2101"/>
      <c r="J25" s="2101"/>
      <c r="K25" s="2102"/>
      <c r="L25" s="2100"/>
      <c r="M25" s="2101"/>
      <c r="N25" s="2101"/>
      <c r="O25" s="2101"/>
      <c r="P25" s="2102"/>
      <c r="Q25" s="2100"/>
      <c r="R25" s="2101"/>
      <c r="S25" s="2101"/>
      <c r="T25" s="2101"/>
      <c r="U25" s="2102"/>
      <c r="V25" s="2100"/>
      <c r="W25" s="2101"/>
      <c r="X25" s="2101"/>
      <c r="Y25" s="2101"/>
      <c r="Z25" s="2102"/>
      <c r="AA25" s="2100"/>
      <c r="AB25" s="2101"/>
      <c r="AC25" s="2101"/>
      <c r="AD25" s="2101"/>
      <c r="AE25" s="2103"/>
      <c r="AF25" s="1531"/>
      <c r="AG25" s="1535"/>
      <c r="AH25" s="2123"/>
      <c r="AI25" s="2124"/>
    </row>
    <row r="26" spans="1:35" s="37" customFormat="1" ht="13">
      <c r="A26" s="1533"/>
      <c r="B26" s="2119"/>
      <c r="C26" s="2115"/>
      <c r="D26" s="2115"/>
      <c r="E26" s="2115"/>
      <c r="F26" s="2120"/>
      <c r="G26" s="2114"/>
      <c r="H26" s="2115"/>
      <c r="I26" s="2115"/>
      <c r="J26" s="2115"/>
      <c r="K26" s="2120"/>
      <c r="L26" s="2114"/>
      <c r="M26" s="2115"/>
      <c r="N26" s="2115"/>
      <c r="O26" s="2115"/>
      <c r="P26" s="2120"/>
      <c r="Q26" s="2114"/>
      <c r="R26" s="2115"/>
      <c r="S26" s="2115"/>
      <c r="T26" s="2115"/>
      <c r="U26" s="2120"/>
      <c r="V26" s="2114"/>
      <c r="W26" s="2115"/>
      <c r="X26" s="2115"/>
      <c r="Y26" s="2115"/>
      <c r="Z26" s="2120"/>
      <c r="AA26" s="2114"/>
      <c r="AB26" s="2115"/>
      <c r="AC26" s="2115"/>
      <c r="AD26" s="2115"/>
      <c r="AE26" s="2116"/>
      <c r="AF26" s="1532"/>
      <c r="AG26" s="1534"/>
      <c r="AH26" s="2121"/>
      <c r="AI26" s="2122"/>
    </row>
    <row r="27" spans="1:35" s="37" customFormat="1" ht="13">
      <c r="A27" s="1490"/>
      <c r="B27" s="2113"/>
      <c r="C27" s="2101"/>
      <c r="D27" s="2101"/>
      <c r="E27" s="2101"/>
      <c r="F27" s="2102"/>
      <c r="G27" s="2100"/>
      <c r="H27" s="2101"/>
      <c r="I27" s="2101"/>
      <c r="J27" s="2101"/>
      <c r="K27" s="2102"/>
      <c r="L27" s="2100"/>
      <c r="M27" s="2101"/>
      <c r="N27" s="2101"/>
      <c r="O27" s="2101"/>
      <c r="P27" s="2102"/>
      <c r="Q27" s="2100"/>
      <c r="R27" s="2101"/>
      <c r="S27" s="2101"/>
      <c r="T27" s="2101"/>
      <c r="U27" s="2102"/>
      <c r="V27" s="2100"/>
      <c r="W27" s="2101"/>
      <c r="X27" s="2101"/>
      <c r="Y27" s="2101"/>
      <c r="Z27" s="2102"/>
      <c r="AA27" s="2100"/>
      <c r="AB27" s="2101"/>
      <c r="AC27" s="2101"/>
      <c r="AD27" s="2101"/>
      <c r="AE27" s="2103"/>
      <c r="AF27" s="1531"/>
      <c r="AG27" s="1485"/>
      <c r="AH27" s="2123"/>
      <c r="AI27" s="2124"/>
    </row>
    <row r="28" spans="1:35" s="37" customFormat="1" ht="13">
      <c r="A28" s="1533"/>
      <c r="B28" s="2119"/>
      <c r="C28" s="2115"/>
      <c r="D28" s="2115"/>
      <c r="E28" s="2115"/>
      <c r="F28" s="2120"/>
      <c r="G28" s="2114"/>
      <c r="H28" s="2115"/>
      <c r="I28" s="2115"/>
      <c r="J28" s="2115"/>
      <c r="K28" s="2120"/>
      <c r="L28" s="2114"/>
      <c r="M28" s="2115"/>
      <c r="N28" s="2115"/>
      <c r="O28" s="2115"/>
      <c r="P28" s="2120"/>
      <c r="Q28" s="2114"/>
      <c r="R28" s="2115"/>
      <c r="S28" s="2115"/>
      <c r="T28" s="2115"/>
      <c r="U28" s="2120"/>
      <c r="V28" s="2114"/>
      <c r="W28" s="2115"/>
      <c r="X28" s="2115"/>
      <c r="Y28" s="2115"/>
      <c r="Z28" s="2120"/>
      <c r="AA28" s="2114"/>
      <c r="AB28" s="2115"/>
      <c r="AC28" s="2115"/>
      <c r="AD28" s="2115"/>
      <c r="AE28" s="2116"/>
      <c r="AF28" s="1532"/>
      <c r="AG28" s="1482"/>
      <c r="AH28" s="2121"/>
      <c r="AI28" s="2122"/>
    </row>
    <row r="29" spans="1:35" s="37" customFormat="1" ht="13">
      <c r="A29" s="1490"/>
      <c r="B29" s="2113"/>
      <c r="C29" s="2101"/>
      <c r="D29" s="2101"/>
      <c r="E29" s="2101"/>
      <c r="F29" s="2102"/>
      <c r="G29" s="2100"/>
      <c r="H29" s="2101"/>
      <c r="I29" s="2101"/>
      <c r="J29" s="2101"/>
      <c r="K29" s="2102"/>
      <c r="L29" s="2100"/>
      <c r="M29" s="2101"/>
      <c r="N29" s="2101"/>
      <c r="O29" s="2101"/>
      <c r="P29" s="2102"/>
      <c r="Q29" s="2100"/>
      <c r="R29" s="2101"/>
      <c r="S29" s="2101"/>
      <c r="T29" s="2101"/>
      <c r="U29" s="2102"/>
      <c r="V29" s="2100"/>
      <c r="W29" s="2101"/>
      <c r="X29" s="2101"/>
      <c r="Y29" s="2101"/>
      <c r="Z29" s="2102"/>
      <c r="AA29" s="2100"/>
      <c r="AB29" s="2101"/>
      <c r="AC29" s="2101"/>
      <c r="AD29" s="2101"/>
      <c r="AE29" s="2103"/>
      <c r="AF29" s="1531"/>
      <c r="AG29" s="1535"/>
      <c r="AH29" s="2111"/>
      <c r="AI29" s="2112"/>
    </row>
    <row r="30" spans="1:35" s="37" customFormat="1" ht="13">
      <c r="A30" s="1533"/>
      <c r="B30" s="2119"/>
      <c r="C30" s="2115"/>
      <c r="D30" s="2115"/>
      <c r="E30" s="2115"/>
      <c r="F30" s="2120"/>
      <c r="G30" s="2114"/>
      <c r="H30" s="2115"/>
      <c r="I30" s="2115"/>
      <c r="J30" s="2115"/>
      <c r="K30" s="2120"/>
      <c r="L30" s="2114"/>
      <c r="M30" s="2115"/>
      <c r="N30" s="2115"/>
      <c r="O30" s="2115"/>
      <c r="P30" s="2120"/>
      <c r="Q30" s="2114"/>
      <c r="R30" s="2115"/>
      <c r="S30" s="2115"/>
      <c r="T30" s="2115"/>
      <c r="U30" s="2120"/>
      <c r="V30" s="2114"/>
      <c r="W30" s="2115"/>
      <c r="X30" s="2115"/>
      <c r="Y30" s="2115"/>
      <c r="Z30" s="2120"/>
      <c r="AA30" s="2114"/>
      <c r="AB30" s="2115"/>
      <c r="AC30" s="2115"/>
      <c r="AD30" s="2115"/>
      <c r="AE30" s="2116"/>
      <c r="AF30" s="1532"/>
      <c r="AG30" s="1534"/>
      <c r="AH30" s="2117"/>
      <c r="AI30" s="2118"/>
    </row>
    <row r="31" spans="1:35" s="37" customFormat="1" ht="13">
      <c r="A31" s="1490"/>
      <c r="B31" s="2113"/>
      <c r="C31" s="2101"/>
      <c r="D31" s="2101"/>
      <c r="E31" s="2101"/>
      <c r="F31" s="2102"/>
      <c r="G31" s="2100"/>
      <c r="H31" s="2101"/>
      <c r="I31" s="2101"/>
      <c r="J31" s="2101"/>
      <c r="K31" s="2102"/>
      <c r="L31" s="2100"/>
      <c r="M31" s="2101"/>
      <c r="N31" s="2101"/>
      <c r="O31" s="2101"/>
      <c r="P31" s="2102"/>
      <c r="Q31" s="2100"/>
      <c r="R31" s="2101"/>
      <c r="S31" s="2101"/>
      <c r="T31" s="2101"/>
      <c r="U31" s="2102"/>
      <c r="V31" s="2100"/>
      <c r="W31" s="2101"/>
      <c r="X31" s="2101"/>
      <c r="Y31" s="2101"/>
      <c r="Z31" s="2102"/>
      <c r="AA31" s="2100"/>
      <c r="AB31" s="2101"/>
      <c r="AC31" s="2101"/>
      <c r="AD31" s="2101"/>
      <c r="AE31" s="2103"/>
      <c r="AF31" s="1531"/>
      <c r="AG31" s="1485"/>
      <c r="AH31" s="2111"/>
      <c r="AI31" s="2112"/>
    </row>
    <row r="32" spans="1:35" s="37" customFormat="1" ht="13">
      <c r="A32" s="1533"/>
      <c r="B32" s="2119"/>
      <c r="C32" s="2115"/>
      <c r="D32" s="2115"/>
      <c r="E32" s="2115"/>
      <c r="F32" s="2120"/>
      <c r="G32" s="2114"/>
      <c r="H32" s="2115"/>
      <c r="I32" s="2115"/>
      <c r="J32" s="2115"/>
      <c r="K32" s="2120"/>
      <c r="L32" s="2114"/>
      <c r="M32" s="2115"/>
      <c r="N32" s="2115"/>
      <c r="O32" s="2115"/>
      <c r="P32" s="2120"/>
      <c r="Q32" s="2114"/>
      <c r="R32" s="2115"/>
      <c r="S32" s="2115"/>
      <c r="T32" s="2115"/>
      <c r="U32" s="2120"/>
      <c r="V32" s="2114"/>
      <c r="W32" s="2115"/>
      <c r="X32" s="2115"/>
      <c r="Y32" s="2115"/>
      <c r="Z32" s="2120"/>
      <c r="AA32" s="2114"/>
      <c r="AB32" s="2115"/>
      <c r="AC32" s="2115"/>
      <c r="AD32" s="2115"/>
      <c r="AE32" s="2116"/>
      <c r="AF32" s="1532"/>
      <c r="AG32" s="1482"/>
      <c r="AH32" s="2117"/>
      <c r="AI32" s="2118"/>
    </row>
    <row r="33" spans="1:35" s="37" customFormat="1" ht="13">
      <c r="A33" s="1490"/>
      <c r="B33" s="2113"/>
      <c r="C33" s="2101"/>
      <c r="D33" s="2101"/>
      <c r="E33" s="2101"/>
      <c r="F33" s="2102"/>
      <c r="G33" s="2100"/>
      <c r="H33" s="2101"/>
      <c r="I33" s="2101"/>
      <c r="J33" s="2101"/>
      <c r="K33" s="2102"/>
      <c r="L33" s="2100"/>
      <c r="M33" s="2101"/>
      <c r="N33" s="2101"/>
      <c r="O33" s="2101"/>
      <c r="P33" s="2102"/>
      <c r="Q33" s="2100"/>
      <c r="R33" s="2101"/>
      <c r="S33" s="2101"/>
      <c r="T33" s="2101"/>
      <c r="U33" s="2102"/>
      <c r="V33" s="2100"/>
      <c r="W33" s="2101"/>
      <c r="X33" s="2101"/>
      <c r="Y33" s="2101"/>
      <c r="Z33" s="2102"/>
      <c r="AA33" s="2100"/>
      <c r="AB33" s="2101"/>
      <c r="AC33" s="2101"/>
      <c r="AD33" s="2101"/>
      <c r="AE33" s="2103"/>
      <c r="AF33" s="1531"/>
      <c r="AG33" s="1485"/>
      <c r="AH33" s="2111"/>
      <c r="AI33" s="2112"/>
    </row>
    <row r="34" spans="1:35" s="37" customFormat="1" ht="13">
      <c r="A34" s="1533"/>
      <c r="B34" s="2119"/>
      <c r="C34" s="2115"/>
      <c r="D34" s="2115"/>
      <c r="E34" s="2115"/>
      <c r="F34" s="2120"/>
      <c r="G34" s="2114"/>
      <c r="H34" s="2115"/>
      <c r="I34" s="2115"/>
      <c r="J34" s="2115"/>
      <c r="K34" s="2120"/>
      <c r="L34" s="2114"/>
      <c r="M34" s="2115"/>
      <c r="N34" s="2115"/>
      <c r="O34" s="2115"/>
      <c r="P34" s="2120"/>
      <c r="Q34" s="2114"/>
      <c r="R34" s="2115"/>
      <c r="S34" s="2115"/>
      <c r="T34" s="2115"/>
      <c r="U34" s="2120"/>
      <c r="V34" s="2114"/>
      <c r="W34" s="2115"/>
      <c r="X34" s="2115"/>
      <c r="Y34" s="2115"/>
      <c r="Z34" s="2120"/>
      <c r="AA34" s="2114"/>
      <c r="AB34" s="2115"/>
      <c r="AC34" s="2115"/>
      <c r="AD34" s="2115"/>
      <c r="AE34" s="2116"/>
      <c r="AF34" s="1532">
        <f>SUM(B34:AE34)</f>
        <v>0</v>
      </c>
      <c r="AG34" s="1482"/>
      <c r="AH34" s="2117"/>
      <c r="AI34" s="2118"/>
    </row>
    <row r="35" spans="1:35" s="37" customFormat="1" ht="13">
      <c r="A35" s="1490"/>
      <c r="B35" s="2113"/>
      <c r="C35" s="2101"/>
      <c r="D35" s="2101"/>
      <c r="E35" s="2101"/>
      <c r="F35" s="2102"/>
      <c r="G35" s="2100"/>
      <c r="H35" s="2101"/>
      <c r="I35" s="2101"/>
      <c r="J35" s="2101"/>
      <c r="K35" s="2102"/>
      <c r="L35" s="2100"/>
      <c r="M35" s="2101"/>
      <c r="N35" s="2101"/>
      <c r="O35" s="2101"/>
      <c r="P35" s="2102"/>
      <c r="Q35" s="2100"/>
      <c r="R35" s="2101"/>
      <c r="S35" s="2101"/>
      <c r="T35" s="2101"/>
      <c r="U35" s="2102"/>
      <c r="V35" s="2100"/>
      <c r="W35" s="2101"/>
      <c r="X35" s="2101"/>
      <c r="Y35" s="2101"/>
      <c r="Z35" s="2102"/>
      <c r="AA35" s="2100"/>
      <c r="AB35" s="2101"/>
      <c r="AC35" s="2101"/>
      <c r="AD35" s="2101"/>
      <c r="AE35" s="2103"/>
      <c r="AF35" s="1531">
        <f>SUM(B35:AE35)</f>
        <v>0</v>
      </c>
      <c r="AG35" s="1485"/>
      <c r="AH35" s="2111"/>
      <c r="AI35" s="2112"/>
    </row>
    <row r="36" spans="1:35" s="37" customFormat="1" ht="13">
      <c r="A36" s="1533"/>
      <c r="B36" s="2119"/>
      <c r="C36" s="2115"/>
      <c r="D36" s="2115"/>
      <c r="E36" s="2115"/>
      <c r="F36" s="2120"/>
      <c r="G36" s="2114"/>
      <c r="H36" s="2115"/>
      <c r="I36" s="2115"/>
      <c r="J36" s="2115"/>
      <c r="K36" s="2120"/>
      <c r="L36" s="2114"/>
      <c r="M36" s="2115"/>
      <c r="N36" s="2115"/>
      <c r="O36" s="2115"/>
      <c r="P36" s="2120"/>
      <c r="Q36" s="2114"/>
      <c r="R36" s="2115"/>
      <c r="S36" s="2115"/>
      <c r="T36" s="2115"/>
      <c r="U36" s="2120"/>
      <c r="V36" s="2114"/>
      <c r="W36" s="2115"/>
      <c r="X36" s="2115"/>
      <c r="Y36" s="2115"/>
      <c r="Z36" s="2120"/>
      <c r="AA36" s="2114"/>
      <c r="AB36" s="2115"/>
      <c r="AC36" s="2115"/>
      <c r="AD36" s="2115"/>
      <c r="AE36" s="2116"/>
      <c r="AF36" s="1532">
        <f>SUM(B36:AE36)</f>
        <v>0</v>
      </c>
      <c r="AG36" s="1482"/>
      <c r="AH36" s="2117"/>
      <c r="AI36" s="2118"/>
    </row>
    <row r="37" spans="1:35" s="37" customFormat="1" thickBot="1">
      <c r="A37" s="1490"/>
      <c r="B37" s="2113"/>
      <c r="C37" s="2101"/>
      <c r="D37" s="2101"/>
      <c r="E37" s="2101"/>
      <c r="F37" s="2102"/>
      <c r="G37" s="2100"/>
      <c r="H37" s="2101"/>
      <c r="I37" s="2101"/>
      <c r="J37" s="2101"/>
      <c r="K37" s="2102"/>
      <c r="L37" s="2100"/>
      <c r="M37" s="2101"/>
      <c r="N37" s="2101"/>
      <c r="O37" s="2101"/>
      <c r="P37" s="2102"/>
      <c r="Q37" s="2100"/>
      <c r="R37" s="2101"/>
      <c r="S37" s="2101"/>
      <c r="T37" s="2101"/>
      <c r="U37" s="2102"/>
      <c r="V37" s="2100"/>
      <c r="W37" s="2101"/>
      <c r="X37" s="2101"/>
      <c r="Y37" s="2101"/>
      <c r="Z37" s="2102"/>
      <c r="AA37" s="2100"/>
      <c r="AB37" s="2101"/>
      <c r="AC37" s="2101"/>
      <c r="AD37" s="2101"/>
      <c r="AE37" s="2103"/>
      <c r="AF37" s="1531">
        <f>SUM(B37:AE37)</f>
        <v>0</v>
      </c>
      <c r="AG37" s="1485"/>
      <c r="AH37" s="2111"/>
      <c r="AI37" s="2112"/>
    </row>
    <row r="38" spans="1:35" s="37" customFormat="1" ht="13.5" customHeight="1">
      <c r="A38" s="2094" t="s">
        <v>2897</v>
      </c>
      <c r="B38" s="2095"/>
      <c r="C38" s="2095"/>
      <c r="D38" s="2095"/>
      <c r="E38" s="2095"/>
      <c r="F38" s="2095"/>
      <c r="G38" s="2095"/>
      <c r="H38" s="2095"/>
      <c r="I38" s="2095"/>
      <c r="J38" s="2095"/>
      <c r="K38" s="2095"/>
      <c r="L38" s="2095"/>
      <c r="M38" s="2095"/>
      <c r="N38" s="2095"/>
      <c r="O38" s="2095"/>
      <c r="P38" s="2095"/>
      <c r="Q38" s="2095"/>
      <c r="R38" s="2095"/>
      <c r="S38" s="2095"/>
      <c r="T38" s="2095"/>
      <c r="U38" s="2095"/>
      <c r="V38" s="2095"/>
      <c r="W38" s="2095"/>
      <c r="X38" s="2095"/>
      <c r="Y38" s="2095"/>
      <c r="Z38" s="2095"/>
      <c r="AA38" s="2095"/>
      <c r="AB38" s="2095"/>
      <c r="AC38" s="2095"/>
      <c r="AD38" s="2095"/>
      <c r="AE38" s="2095"/>
      <c r="AF38" s="2095"/>
      <c r="AG38" s="2095"/>
      <c r="AH38" s="2095"/>
      <c r="AI38" s="2096"/>
    </row>
    <row r="39" spans="1:35" s="37" customFormat="1" ht="18.75" customHeight="1">
      <c r="A39" s="2097" t="s">
        <v>2896</v>
      </c>
      <c r="B39" s="2098"/>
      <c r="C39" s="2098"/>
      <c r="D39" s="2098" t="s">
        <v>2895</v>
      </c>
      <c r="E39" s="2098"/>
      <c r="F39" s="2098"/>
      <c r="G39" s="2098"/>
      <c r="H39" s="2098"/>
      <c r="I39" s="2098"/>
      <c r="J39" s="2098"/>
      <c r="K39" s="2098" t="s">
        <v>2894</v>
      </c>
      <c r="L39" s="2098"/>
      <c r="M39" s="2098"/>
      <c r="N39" s="2098"/>
      <c r="O39" s="2098"/>
      <c r="P39" s="2098"/>
      <c r="Q39" s="2098"/>
      <c r="R39" s="2098"/>
      <c r="S39" s="2098"/>
      <c r="T39" s="2098"/>
      <c r="U39" s="2098"/>
      <c r="V39" s="2098"/>
      <c r="W39" s="2098"/>
      <c r="X39" s="2098" t="s">
        <v>2893</v>
      </c>
      <c r="Y39" s="2098"/>
      <c r="Z39" s="2098"/>
      <c r="AA39" s="2098"/>
      <c r="AB39" s="2098"/>
      <c r="AC39" s="2098"/>
      <c r="AD39" s="2098"/>
      <c r="AE39" s="2098"/>
      <c r="AF39" s="2098"/>
      <c r="AG39" s="2098" t="s">
        <v>2892</v>
      </c>
      <c r="AH39" s="2098"/>
      <c r="AI39" s="2099"/>
    </row>
    <row r="40" spans="1:35" s="37" customFormat="1" ht="17.25" customHeight="1" thickBot="1">
      <c r="A40" s="2104" t="s">
        <v>2891</v>
      </c>
      <c r="B40" s="2105"/>
      <c r="C40" s="2105" t="s">
        <v>2890</v>
      </c>
      <c r="D40" s="2105"/>
      <c r="E40" s="2105"/>
      <c r="F40" s="2105"/>
      <c r="G40" s="2105"/>
      <c r="H40" s="2105"/>
      <c r="I40" s="2105"/>
      <c r="J40" s="2105"/>
      <c r="K40" s="2105"/>
      <c r="L40" s="2105"/>
      <c r="M40" s="2105"/>
      <c r="N40" s="2105"/>
      <c r="O40" s="2105"/>
      <c r="P40" s="2105"/>
      <c r="Q40" s="2105"/>
      <c r="R40" s="2105"/>
      <c r="S40" s="2105"/>
      <c r="T40" s="2106" t="s">
        <v>2889</v>
      </c>
      <c r="U40" s="2107"/>
      <c r="V40" s="2107"/>
      <c r="W40" s="2108" t="s">
        <v>2888</v>
      </c>
      <c r="X40" s="2108"/>
      <c r="Y40" s="2109"/>
      <c r="Z40" s="2105" t="s">
        <v>2887</v>
      </c>
      <c r="AA40" s="2105"/>
      <c r="AB40" s="2105"/>
      <c r="AC40" s="2105"/>
      <c r="AD40" s="2105"/>
      <c r="AE40" s="2105"/>
      <c r="AF40" s="2105"/>
      <c r="AG40" s="2105"/>
      <c r="AH40" s="2105"/>
      <c r="AI40" s="2110"/>
    </row>
    <row r="41" spans="1:35" s="37" customFormat="1" ht="13">
      <c r="A41" s="1527" t="s">
        <v>2886</v>
      </c>
      <c r="B41" s="2089" t="s">
        <v>2885</v>
      </c>
      <c r="C41" s="2090"/>
      <c r="D41" s="2090"/>
      <c r="E41" s="2090"/>
      <c r="F41" s="2090"/>
      <c r="G41" s="2090"/>
      <c r="H41" s="2090"/>
      <c r="I41" s="2090"/>
      <c r="J41" s="2090"/>
      <c r="K41" s="2090"/>
      <c r="L41" s="2090"/>
      <c r="M41" s="2090"/>
      <c r="N41" s="2090"/>
      <c r="O41" s="2090"/>
      <c r="P41" s="2090"/>
      <c r="Q41" s="2090"/>
      <c r="R41" s="2090"/>
      <c r="S41" s="2090"/>
      <c r="T41" s="2090"/>
      <c r="U41" s="2090"/>
      <c r="V41" s="2090"/>
      <c r="W41" s="2090"/>
      <c r="X41" s="2090"/>
      <c r="Y41" s="2090"/>
      <c r="Z41" s="2090"/>
      <c r="AA41" s="2090"/>
      <c r="AB41" s="2090"/>
      <c r="AC41" s="2090"/>
      <c r="AD41" s="2090"/>
      <c r="AE41" s="2091"/>
      <c r="AF41" s="2092" t="s">
        <v>2884</v>
      </c>
      <c r="AG41" s="2093"/>
      <c r="AH41" s="1526" t="s">
        <v>2883</v>
      </c>
      <c r="AI41" s="1525" t="s">
        <v>2882</v>
      </c>
    </row>
    <row r="42" spans="1:35" s="37" customFormat="1" ht="25" thickBot="1">
      <c r="A42" s="1524" t="s">
        <v>2881</v>
      </c>
      <c r="B42" s="1523" t="s">
        <v>2880</v>
      </c>
      <c r="C42" s="1522" t="s">
        <v>2879</v>
      </c>
      <c r="D42" s="1522" t="s">
        <v>2878</v>
      </c>
      <c r="E42" s="1522" t="s">
        <v>2877</v>
      </c>
      <c r="F42" s="1522" t="s">
        <v>2876</v>
      </c>
      <c r="G42" s="1522" t="s">
        <v>2875</v>
      </c>
      <c r="H42" s="1522" t="s">
        <v>2874</v>
      </c>
      <c r="I42" s="1522" t="s">
        <v>2873</v>
      </c>
      <c r="J42" s="1522" t="s">
        <v>2872</v>
      </c>
      <c r="K42" s="1521" t="s">
        <v>2871</v>
      </c>
      <c r="L42" s="1523" t="s">
        <v>2880</v>
      </c>
      <c r="M42" s="1522" t="s">
        <v>2879</v>
      </c>
      <c r="N42" s="1522" t="s">
        <v>2878</v>
      </c>
      <c r="O42" s="1522" t="s">
        <v>2877</v>
      </c>
      <c r="P42" s="1522" t="s">
        <v>2876</v>
      </c>
      <c r="Q42" s="1522" t="s">
        <v>2875</v>
      </c>
      <c r="R42" s="1522" t="s">
        <v>2874</v>
      </c>
      <c r="S42" s="1522" t="s">
        <v>2873</v>
      </c>
      <c r="T42" s="1522" t="s">
        <v>2872</v>
      </c>
      <c r="U42" s="1521" t="s">
        <v>2871</v>
      </c>
      <c r="V42" s="1523" t="s">
        <v>2880</v>
      </c>
      <c r="W42" s="1522" t="s">
        <v>2879</v>
      </c>
      <c r="X42" s="1522" t="s">
        <v>2878</v>
      </c>
      <c r="Y42" s="1522" t="s">
        <v>2877</v>
      </c>
      <c r="Z42" s="1522" t="s">
        <v>2876</v>
      </c>
      <c r="AA42" s="1522" t="s">
        <v>2875</v>
      </c>
      <c r="AB42" s="1522" t="s">
        <v>2874</v>
      </c>
      <c r="AC42" s="1522" t="s">
        <v>2873</v>
      </c>
      <c r="AD42" s="1522" t="s">
        <v>2872</v>
      </c>
      <c r="AE42" s="1521" t="s">
        <v>2871</v>
      </c>
      <c r="AF42" s="1520" t="s">
        <v>2870</v>
      </c>
      <c r="AG42" s="1519" t="s">
        <v>2869</v>
      </c>
      <c r="AH42" s="1518" t="s">
        <v>454</v>
      </c>
      <c r="AI42" s="1517" t="s">
        <v>454</v>
      </c>
    </row>
    <row r="43" spans="1:35" s="37" customFormat="1" thickTop="1">
      <c r="A43" s="1516"/>
      <c r="B43" s="1515"/>
      <c r="C43" s="1514"/>
      <c r="D43" s="1514"/>
      <c r="E43" s="1514"/>
      <c r="F43" s="1514"/>
      <c r="G43" s="1514"/>
      <c r="H43" s="1514"/>
      <c r="I43" s="1514"/>
      <c r="J43" s="1514"/>
      <c r="K43" s="1513"/>
      <c r="L43" s="1515"/>
      <c r="M43" s="1514"/>
      <c r="N43" s="1514"/>
      <c r="O43" s="1514"/>
      <c r="P43" s="1514"/>
      <c r="Q43" s="1514"/>
      <c r="R43" s="1514"/>
      <c r="S43" s="1514"/>
      <c r="T43" s="1514"/>
      <c r="U43" s="1513"/>
      <c r="V43" s="1515"/>
      <c r="W43" s="1514"/>
      <c r="X43" s="1514"/>
      <c r="Y43" s="1514"/>
      <c r="Z43" s="1514"/>
      <c r="AA43" s="1514"/>
      <c r="AB43" s="1514"/>
      <c r="AC43" s="1514"/>
      <c r="AD43" s="1514"/>
      <c r="AE43" s="1513"/>
      <c r="AF43" s="1512"/>
      <c r="AG43" s="1511"/>
      <c r="AH43" s="1510"/>
      <c r="AI43" s="1509"/>
    </row>
    <row r="44" spans="1:35" s="37" customFormat="1" ht="13">
      <c r="A44" s="1487"/>
      <c r="B44" s="1483"/>
      <c r="C44" s="1482"/>
      <c r="D44" s="1482"/>
      <c r="E44" s="1482"/>
      <c r="F44" s="1482"/>
      <c r="G44" s="1482"/>
      <c r="H44" s="1482"/>
      <c r="I44" s="1482"/>
      <c r="J44" s="1482"/>
      <c r="K44" s="1481"/>
      <c r="L44" s="1483"/>
      <c r="M44" s="1482"/>
      <c r="N44" s="1482"/>
      <c r="O44" s="1482"/>
      <c r="P44" s="1482"/>
      <c r="Q44" s="1482"/>
      <c r="R44" s="1482"/>
      <c r="S44" s="1482"/>
      <c r="T44" s="1482"/>
      <c r="U44" s="1481"/>
      <c r="V44" s="1483"/>
      <c r="W44" s="1482"/>
      <c r="X44" s="1482"/>
      <c r="Y44" s="1482"/>
      <c r="Z44" s="1482"/>
      <c r="AA44" s="1482"/>
      <c r="AB44" s="1482"/>
      <c r="AC44" s="1482"/>
      <c r="AD44" s="1482"/>
      <c r="AE44" s="1481"/>
      <c r="AF44" s="1493"/>
      <c r="AG44" s="1507"/>
      <c r="AH44" s="1506"/>
      <c r="AI44" s="1502"/>
    </row>
    <row r="45" spans="1:35" s="37" customFormat="1" ht="13">
      <c r="A45" s="1488"/>
      <c r="B45" s="1486"/>
      <c r="C45" s="1485"/>
      <c r="D45" s="1485"/>
      <c r="E45" s="1485"/>
      <c r="F45" s="1485"/>
      <c r="G45" s="1485"/>
      <c r="H45" s="1485"/>
      <c r="I45" s="1485"/>
      <c r="J45" s="1485"/>
      <c r="K45" s="1484"/>
      <c r="L45" s="1486"/>
      <c r="M45" s="1485"/>
      <c r="N45" s="1485"/>
      <c r="O45" s="1485"/>
      <c r="P45" s="1485"/>
      <c r="Q45" s="1485"/>
      <c r="R45" s="1485"/>
      <c r="S45" s="1485"/>
      <c r="T45" s="1485"/>
      <c r="U45" s="1484"/>
      <c r="V45" s="1486"/>
      <c r="W45" s="1485"/>
      <c r="X45" s="1485"/>
      <c r="Y45" s="1485"/>
      <c r="Z45" s="1485"/>
      <c r="AA45" s="1485"/>
      <c r="AB45" s="1485"/>
      <c r="AC45" s="1485"/>
      <c r="AD45" s="1485"/>
      <c r="AE45" s="1484"/>
      <c r="AF45" s="1501"/>
      <c r="AG45" s="1508"/>
      <c r="AH45" s="1504"/>
      <c r="AI45" s="1503"/>
    </row>
    <row r="46" spans="1:35" s="37" customFormat="1" ht="13">
      <c r="A46" s="1487"/>
      <c r="B46" s="1483"/>
      <c r="C46" s="1482"/>
      <c r="D46" s="1482"/>
      <c r="E46" s="1482"/>
      <c r="F46" s="1482"/>
      <c r="G46" s="1482"/>
      <c r="H46" s="1482"/>
      <c r="I46" s="1482"/>
      <c r="J46" s="1482"/>
      <c r="K46" s="1481"/>
      <c r="L46" s="1483"/>
      <c r="M46" s="1482"/>
      <c r="N46" s="1482"/>
      <c r="O46" s="1482"/>
      <c r="P46" s="1482"/>
      <c r="Q46" s="1482"/>
      <c r="R46" s="1482"/>
      <c r="S46" s="1482"/>
      <c r="T46" s="1482"/>
      <c r="U46" s="1481"/>
      <c r="V46" s="1483"/>
      <c r="W46" s="1482"/>
      <c r="X46" s="1482"/>
      <c r="Y46" s="1482"/>
      <c r="Z46" s="1482"/>
      <c r="AA46" s="1482"/>
      <c r="AB46" s="1482"/>
      <c r="AC46" s="1482"/>
      <c r="AD46" s="1482"/>
      <c r="AE46" s="1481"/>
      <c r="AF46" s="1497"/>
      <c r="AG46" s="1507"/>
      <c r="AH46" s="1506"/>
      <c r="AI46" s="1502"/>
    </row>
    <row r="47" spans="1:35" s="37" customFormat="1" ht="13">
      <c r="A47" s="1488"/>
      <c r="B47" s="1486"/>
      <c r="C47" s="1485"/>
      <c r="D47" s="1485"/>
      <c r="E47" s="1485"/>
      <c r="F47" s="1485"/>
      <c r="G47" s="1485"/>
      <c r="H47" s="1485"/>
      <c r="I47" s="1485"/>
      <c r="J47" s="1485"/>
      <c r="K47" s="1484"/>
      <c r="L47" s="1486"/>
      <c r="M47" s="1485"/>
      <c r="N47" s="1485"/>
      <c r="O47" s="1485"/>
      <c r="P47" s="1485"/>
      <c r="Q47" s="1485"/>
      <c r="R47" s="1485"/>
      <c r="S47" s="1485"/>
      <c r="T47" s="1485"/>
      <c r="U47" s="1484"/>
      <c r="V47" s="1486"/>
      <c r="W47" s="1485"/>
      <c r="X47" s="1485"/>
      <c r="Y47" s="1485"/>
      <c r="Z47" s="1485"/>
      <c r="AA47" s="1485"/>
      <c r="AB47" s="1485"/>
      <c r="AC47" s="1485"/>
      <c r="AD47" s="1485"/>
      <c r="AE47" s="1484"/>
      <c r="AF47" s="1501"/>
      <c r="AG47" s="1508"/>
      <c r="AH47" s="1504"/>
      <c r="AI47" s="1503"/>
    </row>
    <row r="48" spans="1:35" s="37" customFormat="1" ht="13">
      <c r="A48" s="1487"/>
      <c r="B48" s="1483"/>
      <c r="C48" s="1482"/>
      <c r="D48" s="1482"/>
      <c r="E48" s="1482"/>
      <c r="F48" s="1482"/>
      <c r="G48" s="1482"/>
      <c r="H48" s="1482"/>
      <c r="I48" s="1482"/>
      <c r="J48" s="1482"/>
      <c r="K48" s="1481"/>
      <c r="L48" s="1483"/>
      <c r="M48" s="1482"/>
      <c r="N48" s="1482"/>
      <c r="O48" s="1482"/>
      <c r="P48" s="1482"/>
      <c r="Q48" s="1482"/>
      <c r="R48" s="1482"/>
      <c r="S48" s="1482"/>
      <c r="T48" s="1482"/>
      <c r="U48" s="1481"/>
      <c r="V48" s="1483"/>
      <c r="W48" s="1482"/>
      <c r="X48" s="1482"/>
      <c r="Y48" s="1482"/>
      <c r="Z48" s="1482"/>
      <c r="AA48" s="1482"/>
      <c r="AB48" s="1482"/>
      <c r="AC48" s="1482"/>
      <c r="AD48" s="1482"/>
      <c r="AE48" s="1481"/>
      <c r="AF48" s="1497"/>
      <c r="AG48" s="1507"/>
      <c r="AH48" s="1506"/>
      <c r="AI48" s="1502"/>
    </row>
    <row r="49" spans="1:35" s="37" customFormat="1" ht="13">
      <c r="A49" s="1488"/>
      <c r="B49" s="1486"/>
      <c r="C49" s="1485"/>
      <c r="D49" s="1485"/>
      <c r="E49" s="1485"/>
      <c r="F49" s="1485"/>
      <c r="G49" s="1485"/>
      <c r="H49" s="1485"/>
      <c r="I49" s="1485"/>
      <c r="J49" s="1485"/>
      <c r="K49" s="1484"/>
      <c r="L49" s="1486"/>
      <c r="M49" s="1485"/>
      <c r="N49" s="1485"/>
      <c r="O49" s="1485"/>
      <c r="P49" s="1485"/>
      <c r="Q49" s="1485"/>
      <c r="R49" s="1485"/>
      <c r="S49" s="1485"/>
      <c r="T49" s="1485"/>
      <c r="U49" s="1484"/>
      <c r="V49" s="1486"/>
      <c r="W49" s="1485"/>
      <c r="X49" s="1485"/>
      <c r="Y49" s="1485"/>
      <c r="Z49" s="1485"/>
      <c r="AA49" s="1485"/>
      <c r="AB49" s="1485"/>
      <c r="AC49" s="1485"/>
      <c r="AD49" s="1485"/>
      <c r="AE49" s="1484"/>
      <c r="AF49" s="1501"/>
      <c r="AG49" s="1505"/>
      <c r="AH49" s="1504"/>
      <c r="AI49" s="1503"/>
    </row>
    <row r="50" spans="1:35" s="37" customFormat="1" ht="13">
      <c r="A50" s="1487"/>
      <c r="B50" s="1483"/>
      <c r="C50" s="1482"/>
      <c r="D50" s="1482"/>
      <c r="E50" s="1482"/>
      <c r="F50" s="1482"/>
      <c r="G50" s="1482"/>
      <c r="H50" s="1482"/>
      <c r="I50" s="1482"/>
      <c r="J50" s="1482"/>
      <c r="K50" s="1481"/>
      <c r="L50" s="1483"/>
      <c r="M50" s="1482"/>
      <c r="N50" s="1482"/>
      <c r="O50" s="1482"/>
      <c r="P50" s="1482"/>
      <c r="Q50" s="1482"/>
      <c r="R50" s="1482"/>
      <c r="S50" s="1482"/>
      <c r="T50" s="1482"/>
      <c r="U50" s="1481"/>
      <c r="V50" s="1483"/>
      <c r="W50" s="1482"/>
      <c r="X50" s="1482"/>
      <c r="Y50" s="1482"/>
      <c r="Z50" s="1482"/>
      <c r="AA50" s="1482"/>
      <c r="AB50" s="1482"/>
      <c r="AC50" s="1482"/>
      <c r="AD50" s="1482"/>
      <c r="AE50" s="1481"/>
      <c r="AF50" s="1493"/>
      <c r="AG50" s="1469"/>
      <c r="AH50" s="1468"/>
      <c r="AI50" s="1502"/>
    </row>
    <row r="51" spans="1:35" s="37" customFormat="1" ht="13">
      <c r="A51" s="1488"/>
      <c r="B51" s="1486"/>
      <c r="C51" s="1485"/>
      <c r="D51" s="1485"/>
      <c r="E51" s="1485"/>
      <c r="F51" s="1485"/>
      <c r="G51" s="1485"/>
      <c r="H51" s="1485"/>
      <c r="I51" s="1485"/>
      <c r="J51" s="1485"/>
      <c r="K51" s="1484"/>
      <c r="L51" s="1486"/>
      <c r="M51" s="1485"/>
      <c r="N51" s="1485"/>
      <c r="O51" s="1485"/>
      <c r="P51" s="1485"/>
      <c r="Q51" s="1485"/>
      <c r="R51" s="1485"/>
      <c r="S51" s="1485"/>
      <c r="T51" s="1485"/>
      <c r="U51" s="1484"/>
      <c r="V51" s="1486"/>
      <c r="W51" s="1485"/>
      <c r="X51" s="1485"/>
      <c r="Y51" s="1485"/>
      <c r="Z51" s="1485"/>
      <c r="AA51" s="1485"/>
      <c r="AB51" s="1485"/>
      <c r="AC51" s="1485"/>
      <c r="AD51" s="1485"/>
      <c r="AE51" s="1484"/>
      <c r="AF51" s="1492"/>
      <c r="AG51" s="1476"/>
      <c r="AH51" s="1475"/>
      <c r="AI51" s="1474"/>
    </row>
    <row r="52" spans="1:35" s="37" customFormat="1" ht="13">
      <c r="A52" s="1487"/>
      <c r="B52" s="1483"/>
      <c r="C52" s="1482"/>
      <c r="D52" s="1482"/>
      <c r="E52" s="1482"/>
      <c r="F52" s="1482"/>
      <c r="G52" s="1482"/>
      <c r="H52" s="1482"/>
      <c r="I52" s="1482"/>
      <c r="J52" s="1482"/>
      <c r="K52" s="1481"/>
      <c r="L52" s="1483"/>
      <c r="M52" s="1482"/>
      <c r="N52" s="1482"/>
      <c r="O52" s="1482"/>
      <c r="P52" s="1482"/>
      <c r="Q52" s="1482"/>
      <c r="R52" s="1482"/>
      <c r="S52" s="1482"/>
      <c r="T52" s="1482"/>
      <c r="U52" s="1481"/>
      <c r="V52" s="1483"/>
      <c r="W52" s="1482"/>
      <c r="X52" s="1482"/>
      <c r="Y52" s="1482"/>
      <c r="Z52" s="1482"/>
      <c r="AA52" s="1482"/>
      <c r="AB52" s="1482"/>
      <c r="AC52" s="1482"/>
      <c r="AD52" s="1482"/>
      <c r="AE52" s="1481"/>
      <c r="AF52" s="1493"/>
      <c r="AG52" s="1469"/>
      <c r="AH52" s="1468"/>
      <c r="AI52" s="1467"/>
    </row>
    <row r="53" spans="1:35" s="37" customFormat="1" ht="13">
      <c r="A53" s="1488"/>
      <c r="B53" s="1486"/>
      <c r="C53" s="1485"/>
      <c r="D53" s="1485"/>
      <c r="E53" s="1485"/>
      <c r="F53" s="1485"/>
      <c r="G53" s="1485"/>
      <c r="H53" s="1485"/>
      <c r="I53" s="1485"/>
      <c r="J53" s="1485"/>
      <c r="K53" s="1484"/>
      <c r="L53" s="1486"/>
      <c r="M53" s="1485"/>
      <c r="N53" s="1485"/>
      <c r="O53" s="1485"/>
      <c r="P53" s="1485"/>
      <c r="Q53" s="1485"/>
      <c r="R53" s="1485"/>
      <c r="S53" s="1485"/>
      <c r="T53" s="1485"/>
      <c r="U53" s="1484"/>
      <c r="V53" s="1486"/>
      <c r="W53" s="1485"/>
      <c r="X53" s="1485"/>
      <c r="Y53" s="1485"/>
      <c r="Z53" s="1485"/>
      <c r="AA53" s="1485"/>
      <c r="AB53" s="1485"/>
      <c r="AC53" s="1485"/>
      <c r="AD53" s="1485"/>
      <c r="AE53" s="1484"/>
      <c r="AF53" s="1492" t="s">
        <v>270</v>
      </c>
      <c r="AG53" s="1476" t="s">
        <v>270</v>
      </c>
      <c r="AH53" s="1475"/>
      <c r="AI53" s="1474"/>
    </row>
    <row r="54" spans="1:35" s="37" customFormat="1" ht="13">
      <c r="A54" s="1487"/>
      <c r="B54" s="1483"/>
      <c r="C54" s="1482"/>
      <c r="D54" s="1482"/>
      <c r="E54" s="1482"/>
      <c r="F54" s="1482"/>
      <c r="G54" s="1482"/>
      <c r="H54" s="1482"/>
      <c r="I54" s="1482"/>
      <c r="J54" s="1482"/>
      <c r="K54" s="1481"/>
      <c r="L54" s="1483"/>
      <c r="M54" s="1482"/>
      <c r="N54" s="1482"/>
      <c r="O54" s="1482"/>
      <c r="P54" s="1482"/>
      <c r="Q54" s="1482"/>
      <c r="R54" s="1482"/>
      <c r="S54" s="1482"/>
      <c r="T54" s="1482"/>
      <c r="U54" s="1481"/>
      <c r="V54" s="1483"/>
      <c r="W54" s="1482"/>
      <c r="X54" s="1482"/>
      <c r="Y54" s="1482"/>
      <c r="Z54" s="1482"/>
      <c r="AA54" s="1482"/>
      <c r="AB54" s="1482"/>
      <c r="AC54" s="1482"/>
      <c r="AD54" s="1482"/>
      <c r="AE54" s="1481"/>
      <c r="AF54" s="1493" t="s">
        <v>270</v>
      </c>
      <c r="AG54" s="1469" t="s">
        <v>270</v>
      </c>
      <c r="AH54" s="1468"/>
      <c r="AI54" s="1467"/>
    </row>
    <row r="55" spans="1:35" s="37" customFormat="1" ht="13">
      <c r="A55" s="1490"/>
      <c r="B55" s="1486"/>
      <c r="C55" s="1485"/>
      <c r="D55" s="1485"/>
      <c r="E55" s="1485"/>
      <c r="F55" s="1485"/>
      <c r="G55" s="1485"/>
      <c r="H55" s="1485"/>
      <c r="I55" s="1485"/>
      <c r="J55" s="1485"/>
      <c r="K55" s="1484"/>
      <c r="L55" s="1486"/>
      <c r="M55" s="1485"/>
      <c r="N55" s="1485"/>
      <c r="O55" s="1485"/>
      <c r="P55" s="1485"/>
      <c r="Q55" s="1485"/>
      <c r="R55" s="1485"/>
      <c r="S55" s="1485"/>
      <c r="T55" s="1485"/>
      <c r="U55" s="1484"/>
      <c r="V55" s="1486"/>
      <c r="W55" s="1485"/>
      <c r="X55" s="1485"/>
      <c r="Y55" s="1485"/>
      <c r="Z55" s="1485"/>
      <c r="AA55" s="1485"/>
      <c r="AB55" s="1485"/>
      <c r="AC55" s="1485"/>
      <c r="AD55" s="1485"/>
      <c r="AE55" s="1484"/>
      <c r="AF55" s="1492" t="s">
        <v>270</v>
      </c>
      <c r="AG55" s="1476" t="s">
        <v>270</v>
      </c>
      <c r="AH55" s="1475"/>
      <c r="AI55" s="1474"/>
    </row>
    <row r="56" spans="1:35" s="37" customFormat="1" ht="13">
      <c r="A56" s="1487"/>
      <c r="B56" s="1483"/>
      <c r="C56" s="1482"/>
      <c r="D56" s="1482"/>
      <c r="E56" s="1482"/>
      <c r="F56" s="1482"/>
      <c r="G56" s="1482"/>
      <c r="H56" s="1482"/>
      <c r="I56" s="1482"/>
      <c r="J56" s="1482"/>
      <c r="K56" s="1481"/>
      <c r="L56" s="1483"/>
      <c r="M56" s="1482"/>
      <c r="N56" s="1482"/>
      <c r="O56" s="1482"/>
      <c r="P56" s="1482"/>
      <c r="Q56" s="1482"/>
      <c r="R56" s="1482"/>
      <c r="S56" s="1482"/>
      <c r="T56" s="1482"/>
      <c r="U56" s="1481"/>
      <c r="V56" s="1483"/>
      <c r="W56" s="1482"/>
      <c r="X56" s="1482"/>
      <c r="Y56" s="1482"/>
      <c r="Z56" s="1482"/>
      <c r="AA56" s="1482"/>
      <c r="AB56" s="1482"/>
      <c r="AC56" s="1482"/>
      <c r="AD56" s="1482"/>
      <c r="AE56" s="1481"/>
      <c r="AF56" s="1493" t="s">
        <v>270</v>
      </c>
      <c r="AG56" s="1469" t="s">
        <v>270</v>
      </c>
      <c r="AH56" s="1468"/>
      <c r="AI56" s="1467"/>
    </row>
    <row r="57" spans="1:35" s="37" customFormat="1" ht="13">
      <c r="A57" s="1488"/>
      <c r="B57" s="1486"/>
      <c r="C57" s="1485"/>
      <c r="D57" s="1485"/>
      <c r="E57" s="1485"/>
      <c r="F57" s="1485"/>
      <c r="G57" s="1485"/>
      <c r="H57" s="1485"/>
      <c r="I57" s="1485"/>
      <c r="J57" s="1485"/>
      <c r="K57" s="1484"/>
      <c r="L57" s="1486"/>
      <c r="M57" s="1485"/>
      <c r="N57" s="1485"/>
      <c r="O57" s="1485"/>
      <c r="P57" s="1485"/>
      <c r="Q57" s="1485"/>
      <c r="R57" s="1485"/>
      <c r="S57" s="1485"/>
      <c r="T57" s="1485"/>
      <c r="U57" s="1484"/>
      <c r="V57" s="1486"/>
      <c r="W57" s="1485"/>
      <c r="X57" s="1485"/>
      <c r="Y57" s="1485"/>
      <c r="Z57" s="1485"/>
      <c r="AA57" s="1485"/>
      <c r="AB57" s="1485"/>
      <c r="AC57" s="1485"/>
      <c r="AD57" s="1485"/>
      <c r="AE57" s="1484"/>
      <c r="AF57" s="1492" t="s">
        <v>270</v>
      </c>
      <c r="AG57" s="1476" t="s">
        <v>270</v>
      </c>
      <c r="AH57" s="1475"/>
      <c r="AI57" s="1474"/>
    </row>
    <row r="58" spans="1:35" s="37" customFormat="1" ht="13">
      <c r="A58" s="1487"/>
      <c r="B58" s="1483"/>
      <c r="C58" s="1482"/>
      <c r="D58" s="1482"/>
      <c r="E58" s="1482"/>
      <c r="F58" s="1482"/>
      <c r="G58" s="1482"/>
      <c r="H58" s="1482"/>
      <c r="I58" s="1482"/>
      <c r="J58" s="1482"/>
      <c r="K58" s="1481"/>
      <c r="L58" s="1483"/>
      <c r="M58" s="1482"/>
      <c r="N58" s="1482"/>
      <c r="O58" s="1482"/>
      <c r="P58" s="1482"/>
      <c r="Q58" s="1482"/>
      <c r="R58" s="1482"/>
      <c r="S58" s="1482"/>
      <c r="T58" s="1482"/>
      <c r="U58" s="1481"/>
      <c r="V58" s="1483"/>
      <c r="W58" s="1482"/>
      <c r="X58" s="1482"/>
      <c r="Y58" s="1482"/>
      <c r="Z58" s="1482"/>
      <c r="AA58" s="1482"/>
      <c r="AB58" s="1482"/>
      <c r="AC58" s="1482"/>
      <c r="AD58" s="1482"/>
      <c r="AE58" s="1481"/>
      <c r="AF58" s="1493" t="s">
        <v>270</v>
      </c>
      <c r="AG58" s="1469" t="s">
        <v>270</v>
      </c>
      <c r="AH58" s="1468"/>
      <c r="AI58" s="1467"/>
    </row>
    <row r="59" spans="1:35" s="37" customFormat="1" ht="13">
      <c r="A59" s="1490"/>
      <c r="B59" s="1486"/>
      <c r="C59" s="1485"/>
      <c r="D59" s="1485"/>
      <c r="E59" s="1485"/>
      <c r="F59" s="1485"/>
      <c r="G59" s="1485"/>
      <c r="H59" s="1485"/>
      <c r="I59" s="1485"/>
      <c r="J59" s="1485"/>
      <c r="K59" s="1484"/>
      <c r="L59" s="1486"/>
      <c r="M59" s="1485"/>
      <c r="N59" s="1485"/>
      <c r="O59" s="1485"/>
      <c r="P59" s="1485"/>
      <c r="Q59" s="1485"/>
      <c r="R59" s="1485"/>
      <c r="S59" s="1485"/>
      <c r="T59" s="1485"/>
      <c r="U59" s="1484"/>
      <c r="V59" s="1486"/>
      <c r="W59" s="1485"/>
      <c r="X59" s="1485"/>
      <c r="Y59" s="1485"/>
      <c r="Z59" s="1485"/>
      <c r="AA59" s="1485"/>
      <c r="AB59" s="1485"/>
      <c r="AC59" s="1485"/>
      <c r="AD59" s="1485"/>
      <c r="AE59" s="1484"/>
      <c r="AF59" s="1492" t="s">
        <v>270</v>
      </c>
      <c r="AG59" s="1476" t="s">
        <v>270</v>
      </c>
      <c r="AH59" s="1475"/>
      <c r="AI59" s="1474"/>
    </row>
    <row r="60" spans="1:35" s="37" customFormat="1" ht="13">
      <c r="A60" s="1487"/>
      <c r="B60" s="1483"/>
      <c r="C60" s="1482"/>
      <c r="D60" s="1482"/>
      <c r="E60" s="1482"/>
      <c r="F60" s="1482"/>
      <c r="G60" s="1482"/>
      <c r="H60" s="1482"/>
      <c r="I60" s="1482"/>
      <c r="J60" s="1482"/>
      <c r="K60" s="1481"/>
      <c r="L60" s="1483"/>
      <c r="M60" s="1482"/>
      <c r="N60" s="1482"/>
      <c r="O60" s="1482"/>
      <c r="P60" s="1482"/>
      <c r="Q60" s="1482"/>
      <c r="R60" s="1482"/>
      <c r="S60" s="1482"/>
      <c r="T60" s="1482"/>
      <c r="U60" s="1481"/>
      <c r="V60" s="1483"/>
      <c r="W60" s="1482"/>
      <c r="X60" s="1482"/>
      <c r="Y60" s="1482"/>
      <c r="Z60" s="1482"/>
      <c r="AA60" s="1482"/>
      <c r="AB60" s="1482"/>
      <c r="AC60" s="1482"/>
      <c r="AD60" s="1482"/>
      <c r="AE60" s="1481"/>
      <c r="AF60" s="1493" t="s">
        <v>270</v>
      </c>
      <c r="AG60" s="1469" t="s">
        <v>270</v>
      </c>
      <c r="AH60" s="1468"/>
      <c r="AI60" s="1467"/>
    </row>
    <row r="61" spans="1:35" s="37" customFormat="1" ht="13">
      <c r="A61" s="1480" t="s">
        <v>2868</v>
      </c>
      <c r="B61" s="1486"/>
      <c r="C61" s="1485"/>
      <c r="D61" s="1485"/>
      <c r="E61" s="1485"/>
      <c r="F61" s="1485"/>
      <c r="G61" s="1485"/>
      <c r="H61" s="1485"/>
      <c r="I61" s="1485"/>
      <c r="J61" s="1485"/>
      <c r="K61" s="1484"/>
      <c r="L61" s="1486"/>
      <c r="M61" s="1485"/>
      <c r="N61" s="1485"/>
      <c r="O61" s="1485"/>
      <c r="P61" s="1485"/>
      <c r="Q61" s="1485"/>
      <c r="R61" s="1485"/>
      <c r="S61" s="1485"/>
      <c r="T61" s="1485"/>
      <c r="U61" s="1484"/>
      <c r="V61" s="1486"/>
      <c r="W61" s="1485"/>
      <c r="X61" s="1485"/>
      <c r="Y61" s="1485"/>
      <c r="Z61" s="1485"/>
      <c r="AA61" s="1485"/>
      <c r="AB61" s="1485"/>
      <c r="AC61" s="1485"/>
      <c r="AD61" s="1485"/>
      <c r="AE61" s="1484"/>
      <c r="AF61" s="1492"/>
      <c r="AG61" s="1476"/>
      <c r="AH61" s="1475"/>
      <c r="AI61" s="1474"/>
    </row>
    <row r="62" spans="1:35" s="37" customFormat="1" ht="13">
      <c r="A62" s="1487"/>
      <c r="B62" s="1483"/>
      <c r="C62" s="1482"/>
      <c r="D62" s="1482"/>
      <c r="E62" s="1482"/>
      <c r="F62" s="1482"/>
      <c r="G62" s="1482"/>
      <c r="H62" s="1482"/>
      <c r="I62" s="1482"/>
      <c r="J62" s="1482"/>
      <c r="K62" s="1481"/>
      <c r="L62" s="1483"/>
      <c r="M62" s="1482"/>
      <c r="N62" s="1482"/>
      <c r="O62" s="1482"/>
      <c r="P62" s="1482"/>
      <c r="Q62" s="1482"/>
      <c r="R62" s="1482"/>
      <c r="S62" s="1482"/>
      <c r="T62" s="1482"/>
      <c r="U62" s="1481"/>
      <c r="V62" s="1483"/>
      <c r="W62" s="1482"/>
      <c r="X62" s="1482"/>
      <c r="Y62" s="1482"/>
      <c r="Z62" s="1482"/>
      <c r="AA62" s="1482"/>
      <c r="AB62" s="1482"/>
      <c r="AC62" s="1482"/>
      <c r="AD62" s="1482"/>
      <c r="AE62" s="1481"/>
      <c r="AF62" s="1497"/>
      <c r="AG62" s="1496"/>
      <c r="AH62" s="1495"/>
      <c r="AI62" s="1494"/>
    </row>
    <row r="63" spans="1:35" s="37" customFormat="1" ht="13">
      <c r="A63" s="1488"/>
      <c r="B63" s="1486"/>
      <c r="C63" s="1485"/>
      <c r="D63" s="1485"/>
      <c r="E63" s="1485"/>
      <c r="F63" s="1485"/>
      <c r="G63" s="1485"/>
      <c r="H63" s="1485"/>
      <c r="I63" s="1485"/>
      <c r="J63" s="1485"/>
      <c r="K63" s="1484"/>
      <c r="L63" s="1486"/>
      <c r="M63" s="1485"/>
      <c r="N63" s="1485"/>
      <c r="O63" s="1485"/>
      <c r="P63" s="1485"/>
      <c r="Q63" s="1485"/>
      <c r="R63" s="1485"/>
      <c r="S63" s="1485"/>
      <c r="T63" s="1485"/>
      <c r="U63" s="1484"/>
      <c r="V63" s="1486"/>
      <c r="W63" s="1485"/>
      <c r="X63" s="1485"/>
      <c r="Y63" s="1485"/>
      <c r="Z63" s="1485"/>
      <c r="AA63" s="1485"/>
      <c r="AB63" s="1485"/>
      <c r="AC63" s="1485"/>
      <c r="AD63" s="1485"/>
      <c r="AE63" s="1484"/>
      <c r="AF63" s="1501"/>
      <c r="AG63" s="1500"/>
      <c r="AH63" s="1499"/>
      <c r="AI63" s="1498"/>
    </row>
    <row r="64" spans="1:35" s="37" customFormat="1" ht="13">
      <c r="A64" s="1487"/>
      <c r="B64" s="1483"/>
      <c r="C64" s="1482"/>
      <c r="D64" s="1482"/>
      <c r="E64" s="1482"/>
      <c r="F64" s="1482"/>
      <c r="G64" s="1482"/>
      <c r="H64" s="1482"/>
      <c r="I64" s="1482"/>
      <c r="J64" s="1482"/>
      <c r="K64" s="1481"/>
      <c r="L64" s="1483"/>
      <c r="M64" s="1482"/>
      <c r="N64" s="1482"/>
      <c r="O64" s="1482"/>
      <c r="P64" s="1482"/>
      <c r="Q64" s="1482"/>
      <c r="R64" s="1482"/>
      <c r="S64" s="1482"/>
      <c r="T64" s="1482"/>
      <c r="U64" s="1481"/>
      <c r="V64" s="1483"/>
      <c r="W64" s="1482"/>
      <c r="X64" s="1482"/>
      <c r="Y64" s="1482"/>
      <c r="Z64" s="1482"/>
      <c r="AA64" s="1482"/>
      <c r="AB64" s="1482"/>
      <c r="AC64" s="1482"/>
      <c r="AD64" s="1482"/>
      <c r="AE64" s="1481"/>
      <c r="AF64" s="1497"/>
      <c r="AG64" s="1496"/>
      <c r="AH64" s="1495"/>
      <c r="AI64" s="1494"/>
    </row>
    <row r="65" spans="1:35" s="37" customFormat="1" ht="13">
      <c r="A65" s="1488"/>
      <c r="B65" s="1486"/>
      <c r="C65" s="1485"/>
      <c r="D65" s="1485"/>
      <c r="E65" s="1485"/>
      <c r="F65" s="1485"/>
      <c r="G65" s="1485"/>
      <c r="H65" s="1485"/>
      <c r="I65" s="1485"/>
      <c r="J65" s="1485"/>
      <c r="K65" s="1484"/>
      <c r="L65" s="1486"/>
      <c r="M65" s="1485"/>
      <c r="N65" s="1485"/>
      <c r="O65" s="1485"/>
      <c r="P65" s="1485"/>
      <c r="Q65" s="1485"/>
      <c r="R65" s="1485"/>
      <c r="S65" s="1485"/>
      <c r="T65" s="1485"/>
      <c r="U65" s="1484"/>
      <c r="V65" s="1486"/>
      <c r="W65" s="1485"/>
      <c r="X65" s="1485"/>
      <c r="Y65" s="1485"/>
      <c r="Z65" s="1485"/>
      <c r="AA65" s="1485"/>
      <c r="AB65" s="1485"/>
      <c r="AC65" s="1485"/>
      <c r="AD65" s="1485"/>
      <c r="AE65" s="1484"/>
      <c r="AF65" s="1492"/>
      <c r="AG65" s="1476"/>
      <c r="AH65" s="1475"/>
      <c r="AI65" s="1474"/>
    </row>
    <row r="66" spans="1:35" s="37" customFormat="1" ht="13">
      <c r="A66" s="1487"/>
      <c r="B66" s="1483"/>
      <c r="C66" s="1482"/>
      <c r="D66" s="1482"/>
      <c r="E66" s="1482"/>
      <c r="F66" s="1482"/>
      <c r="G66" s="1482"/>
      <c r="H66" s="1482"/>
      <c r="I66" s="1482"/>
      <c r="J66" s="1482"/>
      <c r="K66" s="1481"/>
      <c r="L66" s="1483"/>
      <c r="M66" s="1482"/>
      <c r="N66" s="1482"/>
      <c r="O66" s="1482"/>
      <c r="P66" s="1482"/>
      <c r="Q66" s="1482"/>
      <c r="R66" s="1482"/>
      <c r="S66" s="1482"/>
      <c r="T66" s="1482"/>
      <c r="U66" s="1481"/>
      <c r="V66" s="1483"/>
      <c r="W66" s="1482"/>
      <c r="X66" s="1482"/>
      <c r="Y66" s="1482"/>
      <c r="Z66" s="1482"/>
      <c r="AA66" s="1482"/>
      <c r="AB66" s="1482"/>
      <c r="AC66" s="1482"/>
      <c r="AD66" s="1482"/>
      <c r="AE66" s="1481"/>
      <c r="AF66" s="1493"/>
      <c r="AG66" s="1469"/>
      <c r="AH66" s="1468"/>
      <c r="AI66" s="1467"/>
    </row>
    <row r="67" spans="1:35" s="37" customFormat="1" ht="13">
      <c r="A67" s="1488"/>
      <c r="B67" s="1486"/>
      <c r="C67" s="1485"/>
      <c r="D67" s="1485"/>
      <c r="E67" s="1485"/>
      <c r="F67" s="1485"/>
      <c r="G67" s="1485"/>
      <c r="H67" s="1485"/>
      <c r="I67" s="1485"/>
      <c r="J67" s="1485"/>
      <c r="K67" s="1484"/>
      <c r="L67" s="1486"/>
      <c r="M67" s="1485"/>
      <c r="N67" s="1485"/>
      <c r="O67" s="1485"/>
      <c r="P67" s="1485"/>
      <c r="Q67" s="1485"/>
      <c r="R67" s="1485"/>
      <c r="S67" s="1485"/>
      <c r="T67" s="1485"/>
      <c r="U67" s="1484"/>
      <c r="V67" s="1486"/>
      <c r="W67" s="1485"/>
      <c r="X67" s="1485"/>
      <c r="Y67" s="1485"/>
      <c r="Z67" s="1485"/>
      <c r="AA67" s="1485"/>
      <c r="AB67" s="1485"/>
      <c r="AC67" s="1485"/>
      <c r="AD67" s="1485"/>
      <c r="AE67" s="1484"/>
      <c r="AF67" s="1492" t="s">
        <v>270</v>
      </c>
      <c r="AG67" s="1476" t="s">
        <v>270</v>
      </c>
      <c r="AH67" s="1475"/>
      <c r="AI67" s="1474"/>
    </row>
    <row r="68" spans="1:35" s="37" customFormat="1" ht="13">
      <c r="A68" s="1487"/>
      <c r="B68" s="1483"/>
      <c r="C68" s="1482"/>
      <c r="D68" s="1482"/>
      <c r="E68" s="1482"/>
      <c r="F68" s="1482"/>
      <c r="G68" s="1482"/>
      <c r="H68" s="1482"/>
      <c r="I68" s="1482"/>
      <c r="J68" s="1482"/>
      <c r="K68" s="1481"/>
      <c r="L68" s="1483"/>
      <c r="M68" s="1482"/>
      <c r="N68" s="1482"/>
      <c r="O68" s="1482"/>
      <c r="P68" s="1482"/>
      <c r="Q68" s="1482"/>
      <c r="R68" s="1482"/>
      <c r="S68" s="1482"/>
      <c r="T68" s="1482"/>
      <c r="U68" s="1481"/>
      <c r="V68" s="1483"/>
      <c r="W68" s="1482"/>
      <c r="X68" s="1482"/>
      <c r="Y68" s="1482"/>
      <c r="Z68" s="1482"/>
      <c r="AA68" s="1482"/>
      <c r="AB68" s="1482"/>
      <c r="AC68" s="1482"/>
      <c r="AD68" s="1482"/>
      <c r="AE68" s="1481"/>
      <c r="AF68" s="1491" t="s">
        <v>270</v>
      </c>
      <c r="AG68" s="1469" t="s">
        <v>270</v>
      </c>
      <c r="AH68" s="1468"/>
      <c r="AI68" s="1467"/>
    </row>
    <row r="69" spans="1:35" s="37" customFormat="1" ht="13">
      <c r="A69" s="1490"/>
      <c r="B69" s="1486"/>
      <c r="C69" s="1485"/>
      <c r="D69" s="1485"/>
      <c r="E69" s="1485"/>
      <c r="F69" s="1485"/>
      <c r="G69" s="1485"/>
      <c r="H69" s="1485"/>
      <c r="I69" s="1485"/>
      <c r="J69" s="1485"/>
      <c r="K69" s="1484"/>
      <c r="L69" s="1486"/>
      <c r="M69" s="1485"/>
      <c r="N69" s="1485"/>
      <c r="O69" s="1485"/>
      <c r="P69" s="1485"/>
      <c r="Q69" s="1485"/>
      <c r="R69" s="1485"/>
      <c r="S69" s="1485"/>
      <c r="T69" s="1485"/>
      <c r="U69" s="1484"/>
      <c r="V69" s="1486"/>
      <c r="W69" s="1485"/>
      <c r="X69" s="1485"/>
      <c r="Y69" s="1485"/>
      <c r="Z69" s="1485"/>
      <c r="AA69" s="1485"/>
      <c r="AB69" s="1485"/>
      <c r="AC69" s="1485"/>
      <c r="AD69" s="1485"/>
      <c r="AE69" s="1484"/>
      <c r="AF69" s="1489" t="s">
        <v>270</v>
      </c>
      <c r="AG69" s="1476" t="s">
        <v>270</v>
      </c>
      <c r="AH69" s="1475"/>
      <c r="AI69" s="1474"/>
    </row>
    <row r="70" spans="1:35" s="37" customFormat="1" ht="13">
      <c r="A70" s="1487"/>
      <c r="B70" s="1483"/>
      <c r="C70" s="1482"/>
      <c r="D70" s="1482"/>
      <c r="E70" s="1482"/>
      <c r="F70" s="1482"/>
      <c r="G70" s="1482"/>
      <c r="H70" s="1482"/>
      <c r="I70" s="1482"/>
      <c r="J70" s="1482"/>
      <c r="K70" s="1481"/>
      <c r="L70" s="1483"/>
      <c r="M70" s="1482"/>
      <c r="N70" s="1482"/>
      <c r="O70" s="1482"/>
      <c r="P70" s="1482"/>
      <c r="Q70" s="1482"/>
      <c r="R70" s="1482"/>
      <c r="S70" s="1482"/>
      <c r="T70" s="1482"/>
      <c r="U70" s="1481"/>
      <c r="V70" s="1483"/>
      <c r="W70" s="1482"/>
      <c r="X70" s="1482"/>
      <c r="Y70" s="1482"/>
      <c r="Z70" s="1482"/>
      <c r="AA70" s="1482"/>
      <c r="AB70" s="1482"/>
      <c r="AC70" s="1482"/>
      <c r="AD70" s="1482"/>
      <c r="AE70" s="1481"/>
      <c r="AF70" s="1470" t="s">
        <v>270</v>
      </c>
      <c r="AG70" s="1468" t="s">
        <v>270</v>
      </c>
      <c r="AH70" s="1468"/>
      <c r="AI70" s="1467"/>
    </row>
    <row r="71" spans="1:35" s="37" customFormat="1" ht="13">
      <c r="A71" s="1488"/>
      <c r="B71" s="1486"/>
      <c r="C71" s="1485"/>
      <c r="D71" s="1485"/>
      <c r="E71" s="1485"/>
      <c r="F71" s="1485"/>
      <c r="G71" s="1485"/>
      <c r="H71" s="1485"/>
      <c r="I71" s="1485"/>
      <c r="J71" s="1485"/>
      <c r="K71" s="1484"/>
      <c r="L71" s="1486"/>
      <c r="M71" s="1485"/>
      <c r="N71" s="1485"/>
      <c r="O71" s="1485"/>
      <c r="P71" s="1485"/>
      <c r="Q71" s="1485"/>
      <c r="R71" s="1485"/>
      <c r="S71" s="1485"/>
      <c r="T71" s="1485"/>
      <c r="U71" s="1484"/>
      <c r="V71" s="1486"/>
      <c r="W71" s="1485"/>
      <c r="X71" s="1485"/>
      <c r="Y71" s="1485"/>
      <c r="Z71" s="1485"/>
      <c r="AA71" s="1485"/>
      <c r="AB71" s="1485"/>
      <c r="AC71" s="1485"/>
      <c r="AD71" s="1485"/>
      <c r="AE71" s="1484"/>
      <c r="AF71" s="1477" t="s">
        <v>270</v>
      </c>
      <c r="AG71" s="1475" t="s">
        <v>270</v>
      </c>
      <c r="AH71" s="1475"/>
      <c r="AI71" s="1474"/>
    </row>
    <row r="72" spans="1:35" s="37" customFormat="1" ht="13">
      <c r="A72" s="1487"/>
      <c r="B72" s="1483"/>
      <c r="C72" s="1482"/>
      <c r="D72" s="1482"/>
      <c r="E72" s="1482"/>
      <c r="F72" s="1482"/>
      <c r="G72" s="1482"/>
      <c r="H72" s="1482"/>
      <c r="I72" s="1482"/>
      <c r="J72" s="1482"/>
      <c r="K72" s="1481"/>
      <c r="L72" s="1483"/>
      <c r="M72" s="1482"/>
      <c r="N72" s="1482"/>
      <c r="O72" s="1482"/>
      <c r="P72" s="1482"/>
      <c r="Q72" s="1482"/>
      <c r="R72" s="1482"/>
      <c r="S72" s="1482"/>
      <c r="T72" s="1482"/>
      <c r="U72" s="1481"/>
      <c r="V72" s="1483"/>
      <c r="W72" s="1482"/>
      <c r="X72" s="1482"/>
      <c r="Y72" s="1482"/>
      <c r="Z72" s="1482"/>
      <c r="AA72" s="1482"/>
      <c r="AB72" s="1482"/>
      <c r="AC72" s="1482"/>
      <c r="AD72" s="1482"/>
      <c r="AE72" s="1481"/>
      <c r="AF72" s="1470" t="s">
        <v>270</v>
      </c>
      <c r="AG72" s="1468" t="s">
        <v>270</v>
      </c>
      <c r="AH72" s="1468"/>
      <c r="AI72" s="1467"/>
    </row>
    <row r="73" spans="1:35" s="37" customFormat="1" ht="13">
      <c r="A73" s="1480" t="s">
        <v>2867</v>
      </c>
      <c r="B73" s="1486"/>
      <c r="C73" s="1485"/>
      <c r="D73" s="1485"/>
      <c r="E73" s="1485"/>
      <c r="F73" s="1485"/>
      <c r="G73" s="1485"/>
      <c r="H73" s="1485"/>
      <c r="I73" s="1485"/>
      <c r="J73" s="1485"/>
      <c r="K73" s="1484"/>
      <c r="L73" s="1486"/>
      <c r="M73" s="1485"/>
      <c r="N73" s="1485"/>
      <c r="O73" s="1485"/>
      <c r="P73" s="1485"/>
      <c r="Q73" s="1485"/>
      <c r="R73" s="1485"/>
      <c r="S73" s="1485"/>
      <c r="T73" s="1485"/>
      <c r="U73" s="1484"/>
      <c r="V73" s="1486"/>
      <c r="W73" s="1485"/>
      <c r="X73" s="1485"/>
      <c r="Y73" s="1485"/>
      <c r="Z73" s="1485"/>
      <c r="AA73" s="1485"/>
      <c r="AB73" s="1485"/>
      <c r="AC73" s="1485"/>
      <c r="AD73" s="1485"/>
      <c r="AE73" s="1484"/>
      <c r="AF73" s="1477" t="s">
        <v>270</v>
      </c>
      <c r="AG73" s="1476" t="s">
        <v>270</v>
      </c>
      <c r="AH73" s="1475"/>
      <c r="AI73" s="1474"/>
    </row>
    <row r="74" spans="1:35" s="37" customFormat="1" ht="13">
      <c r="A74" s="1473"/>
      <c r="B74" s="1483"/>
      <c r="C74" s="1482"/>
      <c r="D74" s="1482"/>
      <c r="E74" s="1482"/>
      <c r="F74" s="1482"/>
      <c r="G74" s="1482"/>
      <c r="H74" s="1482"/>
      <c r="I74" s="1482"/>
      <c r="J74" s="1482"/>
      <c r="K74" s="1481"/>
      <c r="L74" s="1483"/>
      <c r="M74" s="1482"/>
      <c r="N74" s="1482"/>
      <c r="O74" s="1482"/>
      <c r="P74" s="1482"/>
      <c r="Q74" s="1482"/>
      <c r="R74" s="1482"/>
      <c r="S74" s="1482"/>
      <c r="T74" s="1482"/>
      <c r="U74" s="1481"/>
      <c r="V74" s="1483"/>
      <c r="W74" s="1482"/>
      <c r="X74" s="1482"/>
      <c r="Y74" s="1482"/>
      <c r="Z74" s="1482"/>
      <c r="AA74" s="1482"/>
      <c r="AB74" s="1482"/>
      <c r="AC74" s="1482"/>
      <c r="AD74" s="1482"/>
      <c r="AE74" s="1481"/>
      <c r="AF74" s="1470"/>
      <c r="AG74" s="1469"/>
      <c r="AH74" s="1468"/>
      <c r="AI74" s="1467"/>
    </row>
    <row r="75" spans="1:35" s="37" customFormat="1" ht="13">
      <c r="A75" s="1480"/>
      <c r="B75" s="1479"/>
      <c r="C75" s="1478"/>
      <c r="D75" s="1478"/>
      <c r="E75" s="1478"/>
      <c r="F75" s="1478"/>
      <c r="G75" s="1478"/>
      <c r="H75" s="1478"/>
      <c r="I75" s="1478"/>
      <c r="J75" s="1478"/>
      <c r="K75" s="1474"/>
      <c r="L75" s="1479"/>
      <c r="M75" s="1478"/>
      <c r="N75" s="1478"/>
      <c r="O75" s="1478"/>
      <c r="P75" s="1478"/>
      <c r="Q75" s="1478"/>
      <c r="R75" s="1478"/>
      <c r="S75" s="1478"/>
      <c r="T75" s="1478"/>
      <c r="U75" s="1474"/>
      <c r="V75" s="1479"/>
      <c r="W75" s="1478"/>
      <c r="X75" s="1478"/>
      <c r="Y75" s="1478"/>
      <c r="Z75" s="1478"/>
      <c r="AA75" s="1478"/>
      <c r="AB75" s="1478"/>
      <c r="AC75" s="1478"/>
      <c r="AD75" s="1478"/>
      <c r="AE75" s="1474"/>
      <c r="AF75" s="1477"/>
      <c r="AG75" s="1476"/>
      <c r="AH75" s="1475"/>
      <c r="AI75" s="1474"/>
    </row>
    <row r="76" spans="1:35" s="37" customFormat="1" ht="13">
      <c r="A76" s="1473"/>
      <c r="B76" s="1472"/>
      <c r="C76" s="1471"/>
      <c r="D76" s="1471"/>
      <c r="E76" s="1471"/>
      <c r="F76" s="1471"/>
      <c r="G76" s="1471"/>
      <c r="H76" s="1471"/>
      <c r="I76" s="1471"/>
      <c r="J76" s="1471"/>
      <c r="K76" s="1467"/>
      <c r="L76" s="1472"/>
      <c r="M76" s="1471"/>
      <c r="N76" s="1471"/>
      <c r="O76" s="1471"/>
      <c r="P76" s="1471"/>
      <c r="Q76" s="1471"/>
      <c r="R76" s="1471"/>
      <c r="S76" s="1471"/>
      <c r="T76" s="1471"/>
      <c r="U76" s="1467"/>
      <c r="V76" s="1472"/>
      <c r="W76" s="1471"/>
      <c r="X76" s="1471"/>
      <c r="Y76" s="1471"/>
      <c r="Z76" s="1471"/>
      <c r="AA76" s="1471"/>
      <c r="AB76" s="1471"/>
      <c r="AC76" s="1471"/>
      <c r="AD76" s="1471"/>
      <c r="AE76" s="1467"/>
      <c r="AF76" s="1470"/>
      <c r="AG76" s="1469"/>
      <c r="AH76" s="1468"/>
      <c r="AI76" s="1467"/>
    </row>
    <row r="77" spans="1:35" s="37" customFormat="1" thickBot="1">
      <c r="A77" s="1466"/>
      <c r="B77" s="1465"/>
      <c r="C77" s="1464"/>
      <c r="D77" s="1464"/>
      <c r="E77" s="1464"/>
      <c r="F77" s="1464"/>
      <c r="G77" s="1464"/>
      <c r="H77" s="1464"/>
      <c r="I77" s="1464"/>
      <c r="J77" s="1464"/>
      <c r="K77" s="1460"/>
      <c r="L77" s="1465"/>
      <c r="M77" s="1464"/>
      <c r="N77" s="1464"/>
      <c r="O77" s="1464"/>
      <c r="P77" s="1464"/>
      <c r="Q77" s="1464"/>
      <c r="R77" s="1464"/>
      <c r="S77" s="1464"/>
      <c r="T77" s="1464"/>
      <c r="U77" s="1460"/>
      <c r="V77" s="1465"/>
      <c r="W77" s="1464"/>
      <c r="X77" s="1464"/>
      <c r="Y77" s="1464"/>
      <c r="Z77" s="1464"/>
      <c r="AA77" s="1464"/>
      <c r="AB77" s="1464"/>
      <c r="AC77" s="1464"/>
      <c r="AD77" s="1464"/>
      <c r="AE77" s="1460"/>
      <c r="AF77" s="1463" t="s">
        <v>270</v>
      </c>
      <c r="AG77" s="1462" t="s">
        <v>270</v>
      </c>
      <c r="AH77" s="1461"/>
      <c r="AI77" s="1460"/>
    </row>
    <row r="78" spans="1:35" s="37" customFormat="1" ht="13">
      <c r="A78" s="1458"/>
      <c r="B78" s="1459"/>
      <c r="C78" s="1459"/>
      <c r="D78" s="1459"/>
      <c r="E78" s="1459"/>
      <c r="F78" s="1459"/>
      <c r="G78" s="1459"/>
      <c r="H78" s="1459"/>
      <c r="I78" s="1459"/>
      <c r="J78" s="1458"/>
      <c r="K78" s="1458"/>
    </row>
    <row r="79" spans="1:35" s="37" customFormat="1" ht="13"/>
    <row r="80" spans="1:35" s="37" customFormat="1" ht="13"/>
    <row r="81" s="37" customFormat="1" ht="13"/>
    <row r="82" s="37" customFormat="1" ht="13"/>
    <row r="83" s="37" customFormat="1" ht="13"/>
    <row r="84" s="37" customFormat="1" ht="13"/>
    <row r="85" s="37" customFormat="1" ht="13"/>
    <row r="86" s="37" customFormat="1" ht="13"/>
    <row r="87" s="37" customFormat="1" ht="13"/>
    <row r="88" s="37" customFormat="1" ht="13"/>
    <row r="89" s="37" customFormat="1" ht="13"/>
  </sheetData>
  <mergeCells count="200">
    <mergeCell ref="A1:AI1"/>
    <mergeCell ref="A2:C2"/>
    <mergeCell ref="D2:J2"/>
    <mergeCell ref="K2:W2"/>
    <mergeCell ref="X2:AF2"/>
    <mergeCell ref="AG2:AI2"/>
    <mergeCell ref="A3:B3"/>
    <mergeCell ref="C3:S3"/>
    <mergeCell ref="T3:V3"/>
    <mergeCell ref="W3:Y3"/>
    <mergeCell ref="Z3:AI3"/>
    <mergeCell ref="B4:F4"/>
    <mergeCell ref="G4:K4"/>
    <mergeCell ref="L4:P4"/>
    <mergeCell ref="Q4:V4"/>
    <mergeCell ref="W4:AI4"/>
    <mergeCell ref="B16:AE16"/>
    <mergeCell ref="AH16:AI16"/>
    <mergeCell ref="W5:AE5"/>
    <mergeCell ref="AH5:AI5"/>
    <mergeCell ref="B6:AE6"/>
    <mergeCell ref="AH6:AI6"/>
    <mergeCell ref="B7:AE7"/>
    <mergeCell ref="AH7:AI7"/>
    <mergeCell ref="B8:AE8"/>
    <mergeCell ref="AH8:AI8"/>
    <mergeCell ref="B9:AE9"/>
    <mergeCell ref="AH9:AI9"/>
    <mergeCell ref="B10:AE10"/>
    <mergeCell ref="AH10:AI10"/>
    <mergeCell ref="B11:AE11"/>
    <mergeCell ref="AH11:AI11"/>
    <mergeCell ref="B12:AE12"/>
    <mergeCell ref="AH12:AI12"/>
    <mergeCell ref="B13:AE13"/>
    <mergeCell ref="AH13:AI13"/>
    <mergeCell ref="B14:AE14"/>
    <mergeCell ref="AH14:AI14"/>
    <mergeCell ref="B15:AE15"/>
    <mergeCell ref="AH15:AI15"/>
    <mergeCell ref="L17:P17"/>
    <mergeCell ref="Q17:U17"/>
    <mergeCell ref="V17:Z17"/>
    <mergeCell ref="AA17:AE17"/>
    <mergeCell ref="AH17:AI17"/>
    <mergeCell ref="B18:F18"/>
    <mergeCell ref="G18:K18"/>
    <mergeCell ref="L18:P18"/>
    <mergeCell ref="Q18:U18"/>
    <mergeCell ref="V18:Z18"/>
    <mergeCell ref="AA18:AE18"/>
    <mergeCell ref="AH18:AI18"/>
    <mergeCell ref="B17:F17"/>
    <mergeCell ref="G17:K17"/>
    <mergeCell ref="AA20:AE20"/>
    <mergeCell ref="AH20:AI20"/>
    <mergeCell ref="B19:F19"/>
    <mergeCell ref="G19:K19"/>
    <mergeCell ref="L19:P19"/>
    <mergeCell ref="Q19:U19"/>
    <mergeCell ref="V19:Z19"/>
    <mergeCell ref="AA19:AE19"/>
    <mergeCell ref="AH19:AI19"/>
    <mergeCell ref="B20:F20"/>
    <mergeCell ref="G20:K20"/>
    <mergeCell ref="L20:P20"/>
    <mergeCell ref="Q20:U20"/>
    <mergeCell ref="V20:Z20"/>
    <mergeCell ref="L21:P21"/>
    <mergeCell ref="Q21:U21"/>
    <mergeCell ref="V21:Z21"/>
    <mergeCell ref="AA21:AE21"/>
    <mergeCell ref="AH23:AI23"/>
    <mergeCell ref="B24:F24"/>
    <mergeCell ref="G24:K24"/>
    <mergeCell ref="L24:P24"/>
    <mergeCell ref="Q24:U24"/>
    <mergeCell ref="V24:Z24"/>
    <mergeCell ref="AH21:AI21"/>
    <mergeCell ref="B22:F22"/>
    <mergeCell ref="G22:K22"/>
    <mergeCell ref="L22:P22"/>
    <mergeCell ref="Q22:U22"/>
    <mergeCell ref="V22:Z22"/>
    <mergeCell ref="AA22:AE22"/>
    <mergeCell ref="AH22:AI22"/>
    <mergeCell ref="B21:F21"/>
    <mergeCell ref="G21:K21"/>
    <mergeCell ref="AA26:AE26"/>
    <mergeCell ref="AH26:AI26"/>
    <mergeCell ref="B25:F25"/>
    <mergeCell ref="G25:K25"/>
    <mergeCell ref="AA24:AE24"/>
    <mergeCell ref="AH24:AI24"/>
    <mergeCell ref="B23:F23"/>
    <mergeCell ref="G23:K23"/>
    <mergeCell ref="L23:P23"/>
    <mergeCell ref="Q23:U23"/>
    <mergeCell ref="V23:Z23"/>
    <mergeCell ref="AA23:AE23"/>
    <mergeCell ref="AA28:AE28"/>
    <mergeCell ref="AH28:AI28"/>
    <mergeCell ref="B27:F27"/>
    <mergeCell ref="G27:K27"/>
    <mergeCell ref="L27:P27"/>
    <mergeCell ref="Q27:U27"/>
    <mergeCell ref="V27:Z27"/>
    <mergeCell ref="AA27:AE27"/>
    <mergeCell ref="L25:P25"/>
    <mergeCell ref="Q25:U25"/>
    <mergeCell ref="V25:Z25"/>
    <mergeCell ref="AA25:AE25"/>
    <mergeCell ref="AH27:AI27"/>
    <mergeCell ref="B28:F28"/>
    <mergeCell ref="G28:K28"/>
    <mergeCell ref="L28:P28"/>
    <mergeCell ref="Q28:U28"/>
    <mergeCell ref="V28:Z28"/>
    <mergeCell ref="AH25:AI25"/>
    <mergeCell ref="B26:F26"/>
    <mergeCell ref="G26:K26"/>
    <mergeCell ref="L26:P26"/>
    <mergeCell ref="Q26:U26"/>
    <mergeCell ref="V26:Z26"/>
    <mergeCell ref="L29:P29"/>
    <mergeCell ref="Q29:U29"/>
    <mergeCell ref="V29:Z29"/>
    <mergeCell ref="AA29:AE29"/>
    <mergeCell ref="AH31:AI31"/>
    <mergeCell ref="B32:F32"/>
    <mergeCell ref="G32:K32"/>
    <mergeCell ref="L32:P32"/>
    <mergeCell ref="Q32:U32"/>
    <mergeCell ref="V32:Z32"/>
    <mergeCell ref="AH29:AI29"/>
    <mergeCell ref="B30:F30"/>
    <mergeCell ref="G30:K30"/>
    <mergeCell ref="L30:P30"/>
    <mergeCell ref="Q30:U30"/>
    <mergeCell ref="V30:Z30"/>
    <mergeCell ref="AA30:AE30"/>
    <mergeCell ref="AH30:AI30"/>
    <mergeCell ref="B29:F29"/>
    <mergeCell ref="G29:K29"/>
    <mergeCell ref="AA34:AE34"/>
    <mergeCell ref="AH34:AI34"/>
    <mergeCell ref="B33:F33"/>
    <mergeCell ref="G33:K33"/>
    <mergeCell ref="AA32:AE32"/>
    <mergeCell ref="AH32:AI32"/>
    <mergeCell ref="B31:F31"/>
    <mergeCell ref="G31:K31"/>
    <mergeCell ref="L31:P31"/>
    <mergeCell ref="Q31:U31"/>
    <mergeCell ref="V31:Z31"/>
    <mergeCell ref="AA31:AE31"/>
    <mergeCell ref="AA36:AE36"/>
    <mergeCell ref="AH36:AI36"/>
    <mergeCell ref="B35:F35"/>
    <mergeCell ref="G35:K35"/>
    <mergeCell ref="L35:P35"/>
    <mergeCell ref="Q35:U35"/>
    <mergeCell ref="V35:Z35"/>
    <mergeCell ref="AA35:AE35"/>
    <mergeCell ref="L33:P33"/>
    <mergeCell ref="Q33:U33"/>
    <mergeCell ref="V33:Z33"/>
    <mergeCell ref="AA33:AE33"/>
    <mergeCell ref="AH35:AI35"/>
    <mergeCell ref="B36:F36"/>
    <mergeCell ref="G36:K36"/>
    <mergeCell ref="L36:P36"/>
    <mergeCell ref="Q36:U36"/>
    <mergeCell ref="V36:Z36"/>
    <mergeCell ref="AH33:AI33"/>
    <mergeCell ref="B34:F34"/>
    <mergeCell ref="G34:K34"/>
    <mergeCell ref="L34:P34"/>
    <mergeCell ref="Q34:U34"/>
    <mergeCell ref="V34:Z34"/>
    <mergeCell ref="B41:AE41"/>
    <mergeCell ref="AF41:AG41"/>
    <mergeCell ref="A38:AI38"/>
    <mergeCell ref="A39:C39"/>
    <mergeCell ref="D39:J39"/>
    <mergeCell ref="K39:W39"/>
    <mergeCell ref="X39:AF39"/>
    <mergeCell ref="AG39:AI39"/>
    <mergeCell ref="L37:P37"/>
    <mergeCell ref="Q37:U37"/>
    <mergeCell ref="V37:Z37"/>
    <mergeCell ref="AA37:AE37"/>
    <mergeCell ref="A40:B40"/>
    <mergeCell ref="C40:S40"/>
    <mergeCell ref="T40:V40"/>
    <mergeCell ref="W40:Y40"/>
    <mergeCell ref="Z40:AI40"/>
    <mergeCell ref="AH37:AI37"/>
    <mergeCell ref="B37:F37"/>
    <mergeCell ref="G37:K37"/>
  </mergeCells>
  <pageMargins left="0.7" right="0.7" top="0.75" bottom="0.75" header="0.3" footer="0.3"/>
  <pageSetup fitToHeight="0" orientation="landscape" r:id="rId1"/>
  <rowBreaks count="1" manualBreakCount="1">
    <brk id="37"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B5C6E-CD62-4FD2-BB81-996C4B6F2437}">
  <sheetPr codeName="Sheet25"/>
  <dimension ref="A1:AI143"/>
  <sheetViews>
    <sheetView workbookViewId="0">
      <selection activeCell="B53" sqref="B53:K53"/>
    </sheetView>
  </sheetViews>
  <sheetFormatPr baseColWidth="10" defaultColWidth="8.83203125" defaultRowHeight="13"/>
  <cols>
    <col min="1" max="1" width="14.83203125" style="37" customWidth="1"/>
    <col min="2" max="10" width="2.5" style="37" customWidth="1"/>
    <col min="11" max="11" width="2.6640625" style="37" customWidth="1"/>
    <col min="12" max="20" width="2.5" style="37" customWidth="1"/>
    <col min="21" max="21" width="2.6640625" style="37" customWidth="1"/>
    <col min="22" max="30" width="2.5" style="37" customWidth="1"/>
    <col min="31" max="31" width="2.6640625" style="37" customWidth="1"/>
    <col min="32" max="32" width="5.33203125" style="37" customWidth="1"/>
    <col min="33" max="33" width="5.83203125" style="37" customWidth="1"/>
    <col min="34" max="34" width="4" style="37" customWidth="1"/>
    <col min="35" max="35" width="4.33203125" style="37" customWidth="1"/>
    <col min="36" max="256" width="9" style="37"/>
    <col min="257" max="257" width="14.83203125" style="37" customWidth="1"/>
    <col min="258" max="266" width="2.5" style="37" customWidth="1"/>
    <col min="267" max="267" width="2.6640625" style="37" customWidth="1"/>
    <col min="268" max="276" width="2.5" style="37" customWidth="1"/>
    <col min="277" max="277" width="2.6640625" style="37" customWidth="1"/>
    <col min="278" max="286" width="2.5" style="37" customWidth="1"/>
    <col min="287" max="287" width="2.6640625" style="37" customWidth="1"/>
    <col min="288" max="288" width="5.33203125" style="37" customWidth="1"/>
    <col min="289" max="289" width="5.83203125" style="37" customWidth="1"/>
    <col min="290" max="290" width="4" style="37" customWidth="1"/>
    <col min="291" max="291" width="4.33203125" style="37" customWidth="1"/>
    <col min="292" max="512" width="9" style="37"/>
    <col min="513" max="513" width="14.83203125" style="37" customWidth="1"/>
    <col min="514" max="522" width="2.5" style="37" customWidth="1"/>
    <col min="523" max="523" width="2.6640625" style="37" customWidth="1"/>
    <col min="524" max="532" width="2.5" style="37" customWidth="1"/>
    <col min="533" max="533" width="2.6640625" style="37" customWidth="1"/>
    <col min="534" max="542" width="2.5" style="37" customWidth="1"/>
    <col min="543" max="543" width="2.6640625" style="37" customWidth="1"/>
    <col min="544" max="544" width="5.33203125" style="37" customWidth="1"/>
    <col min="545" max="545" width="5.83203125" style="37" customWidth="1"/>
    <col min="546" max="546" width="4" style="37" customWidth="1"/>
    <col min="547" max="547" width="4.33203125" style="37" customWidth="1"/>
    <col min="548" max="768" width="9" style="37"/>
    <col min="769" max="769" width="14.83203125" style="37" customWidth="1"/>
    <col min="770" max="778" width="2.5" style="37" customWidth="1"/>
    <col min="779" max="779" width="2.6640625" style="37" customWidth="1"/>
    <col min="780" max="788" width="2.5" style="37" customWidth="1"/>
    <col min="789" max="789" width="2.6640625" style="37" customWidth="1"/>
    <col min="790" max="798" width="2.5" style="37" customWidth="1"/>
    <col min="799" max="799" width="2.6640625" style="37" customWidth="1"/>
    <col min="800" max="800" width="5.33203125" style="37" customWidth="1"/>
    <col min="801" max="801" width="5.83203125" style="37" customWidth="1"/>
    <col min="802" max="802" width="4" style="37" customWidth="1"/>
    <col min="803" max="803" width="4.33203125" style="37" customWidth="1"/>
    <col min="804" max="1024" width="9" style="37"/>
    <col min="1025" max="1025" width="14.83203125" style="37" customWidth="1"/>
    <col min="1026" max="1034" width="2.5" style="37" customWidth="1"/>
    <col min="1035" max="1035" width="2.6640625" style="37" customWidth="1"/>
    <col min="1036" max="1044" width="2.5" style="37" customWidth="1"/>
    <col min="1045" max="1045" width="2.6640625" style="37" customWidth="1"/>
    <col min="1046" max="1054" width="2.5" style="37" customWidth="1"/>
    <col min="1055" max="1055" width="2.6640625" style="37" customWidth="1"/>
    <col min="1056" max="1056" width="5.33203125" style="37" customWidth="1"/>
    <col min="1057" max="1057" width="5.83203125" style="37" customWidth="1"/>
    <col min="1058" max="1058" width="4" style="37" customWidth="1"/>
    <col min="1059" max="1059" width="4.33203125" style="37" customWidth="1"/>
    <col min="1060" max="1280" width="9" style="37"/>
    <col min="1281" max="1281" width="14.83203125" style="37" customWidth="1"/>
    <col min="1282" max="1290" width="2.5" style="37" customWidth="1"/>
    <col min="1291" max="1291" width="2.6640625" style="37" customWidth="1"/>
    <col min="1292" max="1300" width="2.5" style="37" customWidth="1"/>
    <col min="1301" max="1301" width="2.6640625" style="37" customWidth="1"/>
    <col min="1302" max="1310" width="2.5" style="37" customWidth="1"/>
    <col min="1311" max="1311" width="2.6640625" style="37" customWidth="1"/>
    <col min="1312" max="1312" width="5.33203125" style="37" customWidth="1"/>
    <col min="1313" max="1313" width="5.83203125" style="37" customWidth="1"/>
    <col min="1314" max="1314" width="4" style="37" customWidth="1"/>
    <col min="1315" max="1315" width="4.33203125" style="37" customWidth="1"/>
    <col min="1316" max="1536" width="9" style="37"/>
    <col min="1537" max="1537" width="14.83203125" style="37" customWidth="1"/>
    <col min="1538" max="1546" width="2.5" style="37" customWidth="1"/>
    <col min="1547" max="1547" width="2.6640625" style="37" customWidth="1"/>
    <col min="1548" max="1556" width="2.5" style="37" customWidth="1"/>
    <col min="1557" max="1557" width="2.6640625" style="37" customWidth="1"/>
    <col min="1558" max="1566" width="2.5" style="37" customWidth="1"/>
    <col min="1567" max="1567" width="2.6640625" style="37" customWidth="1"/>
    <col min="1568" max="1568" width="5.33203125" style="37" customWidth="1"/>
    <col min="1569" max="1569" width="5.83203125" style="37" customWidth="1"/>
    <col min="1570" max="1570" width="4" style="37" customWidth="1"/>
    <col min="1571" max="1571" width="4.33203125" style="37" customWidth="1"/>
    <col min="1572" max="1792" width="9" style="37"/>
    <col min="1793" max="1793" width="14.83203125" style="37" customWidth="1"/>
    <col min="1794" max="1802" width="2.5" style="37" customWidth="1"/>
    <col min="1803" max="1803" width="2.6640625" style="37" customWidth="1"/>
    <col min="1804" max="1812" width="2.5" style="37" customWidth="1"/>
    <col min="1813" max="1813" width="2.6640625" style="37" customWidth="1"/>
    <col min="1814" max="1822" width="2.5" style="37" customWidth="1"/>
    <col min="1823" max="1823" width="2.6640625" style="37" customWidth="1"/>
    <col min="1824" max="1824" width="5.33203125" style="37" customWidth="1"/>
    <col min="1825" max="1825" width="5.83203125" style="37" customWidth="1"/>
    <col min="1826" max="1826" width="4" style="37" customWidth="1"/>
    <col min="1827" max="1827" width="4.33203125" style="37" customWidth="1"/>
    <col min="1828" max="2048" width="9" style="37"/>
    <col min="2049" max="2049" width="14.83203125" style="37" customWidth="1"/>
    <col min="2050" max="2058" width="2.5" style="37" customWidth="1"/>
    <col min="2059" max="2059" width="2.6640625" style="37" customWidth="1"/>
    <col min="2060" max="2068" width="2.5" style="37" customWidth="1"/>
    <col min="2069" max="2069" width="2.6640625" style="37" customWidth="1"/>
    <col min="2070" max="2078" width="2.5" style="37" customWidth="1"/>
    <col min="2079" max="2079" width="2.6640625" style="37" customWidth="1"/>
    <col min="2080" max="2080" width="5.33203125" style="37" customWidth="1"/>
    <col min="2081" max="2081" width="5.83203125" style="37" customWidth="1"/>
    <col min="2082" max="2082" width="4" style="37" customWidth="1"/>
    <col min="2083" max="2083" width="4.33203125" style="37" customWidth="1"/>
    <col min="2084" max="2304" width="9" style="37"/>
    <col min="2305" max="2305" width="14.83203125" style="37" customWidth="1"/>
    <col min="2306" max="2314" width="2.5" style="37" customWidth="1"/>
    <col min="2315" max="2315" width="2.6640625" style="37" customWidth="1"/>
    <col min="2316" max="2324" width="2.5" style="37" customWidth="1"/>
    <col min="2325" max="2325" width="2.6640625" style="37" customWidth="1"/>
    <col min="2326" max="2334" width="2.5" style="37" customWidth="1"/>
    <col min="2335" max="2335" width="2.6640625" style="37" customWidth="1"/>
    <col min="2336" max="2336" width="5.33203125" style="37" customWidth="1"/>
    <col min="2337" max="2337" width="5.83203125" style="37" customWidth="1"/>
    <col min="2338" max="2338" width="4" style="37" customWidth="1"/>
    <col min="2339" max="2339" width="4.33203125" style="37" customWidth="1"/>
    <col min="2340" max="2560" width="9" style="37"/>
    <col min="2561" max="2561" width="14.83203125" style="37" customWidth="1"/>
    <col min="2562" max="2570" width="2.5" style="37" customWidth="1"/>
    <col min="2571" max="2571" width="2.6640625" style="37" customWidth="1"/>
    <col min="2572" max="2580" width="2.5" style="37" customWidth="1"/>
    <col min="2581" max="2581" width="2.6640625" style="37" customWidth="1"/>
    <col min="2582" max="2590" width="2.5" style="37" customWidth="1"/>
    <col min="2591" max="2591" width="2.6640625" style="37" customWidth="1"/>
    <col min="2592" max="2592" width="5.33203125" style="37" customWidth="1"/>
    <col min="2593" max="2593" width="5.83203125" style="37" customWidth="1"/>
    <col min="2594" max="2594" width="4" style="37" customWidth="1"/>
    <col min="2595" max="2595" width="4.33203125" style="37" customWidth="1"/>
    <col min="2596" max="2816" width="9" style="37"/>
    <col min="2817" max="2817" width="14.83203125" style="37" customWidth="1"/>
    <col min="2818" max="2826" width="2.5" style="37" customWidth="1"/>
    <col min="2827" max="2827" width="2.6640625" style="37" customWidth="1"/>
    <col min="2828" max="2836" width="2.5" style="37" customWidth="1"/>
    <col min="2837" max="2837" width="2.6640625" style="37" customWidth="1"/>
    <col min="2838" max="2846" width="2.5" style="37" customWidth="1"/>
    <col min="2847" max="2847" width="2.6640625" style="37" customWidth="1"/>
    <col min="2848" max="2848" width="5.33203125" style="37" customWidth="1"/>
    <col min="2849" max="2849" width="5.83203125" style="37" customWidth="1"/>
    <col min="2850" max="2850" width="4" style="37" customWidth="1"/>
    <col min="2851" max="2851" width="4.33203125" style="37" customWidth="1"/>
    <col min="2852" max="3072" width="9" style="37"/>
    <col min="3073" max="3073" width="14.83203125" style="37" customWidth="1"/>
    <col min="3074" max="3082" width="2.5" style="37" customWidth="1"/>
    <col min="3083" max="3083" width="2.6640625" style="37" customWidth="1"/>
    <col min="3084" max="3092" width="2.5" style="37" customWidth="1"/>
    <col min="3093" max="3093" width="2.6640625" style="37" customWidth="1"/>
    <col min="3094" max="3102" width="2.5" style="37" customWidth="1"/>
    <col min="3103" max="3103" width="2.6640625" style="37" customWidth="1"/>
    <col min="3104" max="3104" width="5.33203125" style="37" customWidth="1"/>
    <col min="3105" max="3105" width="5.83203125" style="37" customWidth="1"/>
    <col min="3106" max="3106" width="4" style="37" customWidth="1"/>
    <col min="3107" max="3107" width="4.33203125" style="37" customWidth="1"/>
    <col min="3108" max="3328" width="9" style="37"/>
    <col min="3329" max="3329" width="14.83203125" style="37" customWidth="1"/>
    <col min="3330" max="3338" width="2.5" style="37" customWidth="1"/>
    <col min="3339" max="3339" width="2.6640625" style="37" customWidth="1"/>
    <col min="3340" max="3348" width="2.5" style="37" customWidth="1"/>
    <col min="3349" max="3349" width="2.6640625" style="37" customWidth="1"/>
    <col min="3350" max="3358" width="2.5" style="37" customWidth="1"/>
    <col min="3359" max="3359" width="2.6640625" style="37" customWidth="1"/>
    <col min="3360" max="3360" width="5.33203125" style="37" customWidth="1"/>
    <col min="3361" max="3361" width="5.83203125" style="37" customWidth="1"/>
    <col min="3362" max="3362" width="4" style="37" customWidth="1"/>
    <col min="3363" max="3363" width="4.33203125" style="37" customWidth="1"/>
    <col min="3364" max="3584" width="9" style="37"/>
    <col min="3585" max="3585" width="14.83203125" style="37" customWidth="1"/>
    <col min="3586" max="3594" width="2.5" style="37" customWidth="1"/>
    <col min="3595" max="3595" width="2.6640625" style="37" customWidth="1"/>
    <col min="3596" max="3604" width="2.5" style="37" customWidth="1"/>
    <col min="3605" max="3605" width="2.6640625" style="37" customWidth="1"/>
    <col min="3606" max="3614" width="2.5" style="37" customWidth="1"/>
    <col min="3615" max="3615" width="2.6640625" style="37" customWidth="1"/>
    <col min="3616" max="3616" width="5.33203125" style="37" customWidth="1"/>
    <col min="3617" max="3617" width="5.83203125" style="37" customWidth="1"/>
    <col min="3618" max="3618" width="4" style="37" customWidth="1"/>
    <col min="3619" max="3619" width="4.33203125" style="37" customWidth="1"/>
    <col min="3620" max="3840" width="9" style="37"/>
    <col min="3841" max="3841" width="14.83203125" style="37" customWidth="1"/>
    <col min="3842" max="3850" width="2.5" style="37" customWidth="1"/>
    <col min="3851" max="3851" width="2.6640625" style="37" customWidth="1"/>
    <col min="3852" max="3860" width="2.5" style="37" customWidth="1"/>
    <col min="3861" max="3861" width="2.6640625" style="37" customWidth="1"/>
    <col min="3862" max="3870" width="2.5" style="37" customWidth="1"/>
    <col min="3871" max="3871" width="2.6640625" style="37" customWidth="1"/>
    <col min="3872" max="3872" width="5.33203125" style="37" customWidth="1"/>
    <col min="3873" max="3873" width="5.83203125" style="37" customWidth="1"/>
    <col min="3874" max="3874" width="4" style="37" customWidth="1"/>
    <col min="3875" max="3875" width="4.33203125" style="37" customWidth="1"/>
    <col min="3876" max="4096" width="9" style="37"/>
    <col min="4097" max="4097" width="14.83203125" style="37" customWidth="1"/>
    <col min="4098" max="4106" width="2.5" style="37" customWidth="1"/>
    <col min="4107" max="4107" width="2.6640625" style="37" customWidth="1"/>
    <col min="4108" max="4116" width="2.5" style="37" customWidth="1"/>
    <col min="4117" max="4117" width="2.6640625" style="37" customWidth="1"/>
    <col min="4118" max="4126" width="2.5" style="37" customWidth="1"/>
    <col min="4127" max="4127" width="2.6640625" style="37" customWidth="1"/>
    <col min="4128" max="4128" width="5.33203125" style="37" customWidth="1"/>
    <col min="4129" max="4129" width="5.83203125" style="37" customWidth="1"/>
    <col min="4130" max="4130" width="4" style="37" customWidth="1"/>
    <col min="4131" max="4131" width="4.33203125" style="37" customWidth="1"/>
    <col min="4132" max="4352" width="9" style="37"/>
    <col min="4353" max="4353" width="14.83203125" style="37" customWidth="1"/>
    <col min="4354" max="4362" width="2.5" style="37" customWidth="1"/>
    <col min="4363" max="4363" width="2.6640625" style="37" customWidth="1"/>
    <col min="4364" max="4372" width="2.5" style="37" customWidth="1"/>
    <col min="4373" max="4373" width="2.6640625" style="37" customWidth="1"/>
    <col min="4374" max="4382" width="2.5" style="37" customWidth="1"/>
    <col min="4383" max="4383" width="2.6640625" style="37" customWidth="1"/>
    <col min="4384" max="4384" width="5.33203125" style="37" customWidth="1"/>
    <col min="4385" max="4385" width="5.83203125" style="37" customWidth="1"/>
    <col min="4386" max="4386" width="4" style="37" customWidth="1"/>
    <col min="4387" max="4387" width="4.33203125" style="37" customWidth="1"/>
    <col min="4388" max="4608" width="9" style="37"/>
    <col min="4609" max="4609" width="14.83203125" style="37" customWidth="1"/>
    <col min="4610" max="4618" width="2.5" style="37" customWidth="1"/>
    <col min="4619" max="4619" width="2.6640625" style="37" customWidth="1"/>
    <col min="4620" max="4628" width="2.5" style="37" customWidth="1"/>
    <col min="4629" max="4629" width="2.6640625" style="37" customWidth="1"/>
    <col min="4630" max="4638" width="2.5" style="37" customWidth="1"/>
    <col min="4639" max="4639" width="2.6640625" style="37" customWidth="1"/>
    <col min="4640" max="4640" width="5.33203125" style="37" customWidth="1"/>
    <col min="4641" max="4641" width="5.83203125" style="37" customWidth="1"/>
    <col min="4642" max="4642" width="4" style="37" customWidth="1"/>
    <col min="4643" max="4643" width="4.33203125" style="37" customWidth="1"/>
    <col min="4644" max="4864" width="9" style="37"/>
    <col min="4865" max="4865" width="14.83203125" style="37" customWidth="1"/>
    <col min="4866" max="4874" width="2.5" style="37" customWidth="1"/>
    <col min="4875" max="4875" width="2.6640625" style="37" customWidth="1"/>
    <col min="4876" max="4884" width="2.5" style="37" customWidth="1"/>
    <col min="4885" max="4885" width="2.6640625" style="37" customWidth="1"/>
    <col min="4886" max="4894" width="2.5" style="37" customWidth="1"/>
    <col min="4895" max="4895" width="2.6640625" style="37" customWidth="1"/>
    <col min="4896" max="4896" width="5.33203125" style="37" customWidth="1"/>
    <col min="4897" max="4897" width="5.83203125" style="37" customWidth="1"/>
    <col min="4898" max="4898" width="4" style="37" customWidth="1"/>
    <col min="4899" max="4899" width="4.33203125" style="37" customWidth="1"/>
    <col min="4900" max="5120" width="9" style="37"/>
    <col min="5121" max="5121" width="14.83203125" style="37" customWidth="1"/>
    <col min="5122" max="5130" width="2.5" style="37" customWidth="1"/>
    <col min="5131" max="5131" width="2.6640625" style="37" customWidth="1"/>
    <col min="5132" max="5140" width="2.5" style="37" customWidth="1"/>
    <col min="5141" max="5141" width="2.6640625" style="37" customWidth="1"/>
    <col min="5142" max="5150" width="2.5" style="37" customWidth="1"/>
    <col min="5151" max="5151" width="2.6640625" style="37" customWidth="1"/>
    <col min="5152" max="5152" width="5.33203125" style="37" customWidth="1"/>
    <col min="5153" max="5153" width="5.83203125" style="37" customWidth="1"/>
    <col min="5154" max="5154" width="4" style="37" customWidth="1"/>
    <col min="5155" max="5155" width="4.33203125" style="37" customWidth="1"/>
    <col min="5156" max="5376" width="9" style="37"/>
    <col min="5377" max="5377" width="14.83203125" style="37" customWidth="1"/>
    <col min="5378" max="5386" width="2.5" style="37" customWidth="1"/>
    <col min="5387" max="5387" width="2.6640625" style="37" customWidth="1"/>
    <col min="5388" max="5396" width="2.5" style="37" customWidth="1"/>
    <col min="5397" max="5397" width="2.6640625" style="37" customWidth="1"/>
    <col min="5398" max="5406" width="2.5" style="37" customWidth="1"/>
    <col min="5407" max="5407" width="2.6640625" style="37" customWidth="1"/>
    <col min="5408" max="5408" width="5.33203125" style="37" customWidth="1"/>
    <col min="5409" max="5409" width="5.83203125" style="37" customWidth="1"/>
    <col min="5410" max="5410" width="4" style="37" customWidth="1"/>
    <col min="5411" max="5411" width="4.33203125" style="37" customWidth="1"/>
    <col min="5412" max="5632" width="9" style="37"/>
    <col min="5633" max="5633" width="14.83203125" style="37" customWidth="1"/>
    <col min="5634" max="5642" width="2.5" style="37" customWidth="1"/>
    <col min="5643" max="5643" width="2.6640625" style="37" customWidth="1"/>
    <col min="5644" max="5652" width="2.5" style="37" customWidth="1"/>
    <col min="5653" max="5653" width="2.6640625" style="37" customWidth="1"/>
    <col min="5654" max="5662" width="2.5" style="37" customWidth="1"/>
    <col min="5663" max="5663" width="2.6640625" style="37" customWidth="1"/>
    <col min="5664" max="5664" width="5.33203125" style="37" customWidth="1"/>
    <col min="5665" max="5665" width="5.83203125" style="37" customWidth="1"/>
    <col min="5666" max="5666" width="4" style="37" customWidth="1"/>
    <col min="5667" max="5667" width="4.33203125" style="37" customWidth="1"/>
    <col min="5668" max="5888" width="9" style="37"/>
    <col min="5889" max="5889" width="14.83203125" style="37" customWidth="1"/>
    <col min="5890" max="5898" width="2.5" style="37" customWidth="1"/>
    <col min="5899" max="5899" width="2.6640625" style="37" customWidth="1"/>
    <col min="5900" max="5908" width="2.5" style="37" customWidth="1"/>
    <col min="5909" max="5909" width="2.6640625" style="37" customWidth="1"/>
    <col min="5910" max="5918" width="2.5" style="37" customWidth="1"/>
    <col min="5919" max="5919" width="2.6640625" style="37" customWidth="1"/>
    <col min="5920" max="5920" width="5.33203125" style="37" customWidth="1"/>
    <col min="5921" max="5921" width="5.83203125" style="37" customWidth="1"/>
    <col min="5922" max="5922" width="4" style="37" customWidth="1"/>
    <col min="5923" max="5923" width="4.33203125" style="37" customWidth="1"/>
    <col min="5924" max="6144" width="9" style="37"/>
    <col min="6145" max="6145" width="14.83203125" style="37" customWidth="1"/>
    <col min="6146" max="6154" width="2.5" style="37" customWidth="1"/>
    <col min="6155" max="6155" width="2.6640625" style="37" customWidth="1"/>
    <col min="6156" max="6164" width="2.5" style="37" customWidth="1"/>
    <col min="6165" max="6165" width="2.6640625" style="37" customWidth="1"/>
    <col min="6166" max="6174" width="2.5" style="37" customWidth="1"/>
    <col min="6175" max="6175" width="2.6640625" style="37" customWidth="1"/>
    <col min="6176" max="6176" width="5.33203125" style="37" customWidth="1"/>
    <col min="6177" max="6177" width="5.83203125" style="37" customWidth="1"/>
    <col min="6178" max="6178" width="4" style="37" customWidth="1"/>
    <col min="6179" max="6179" width="4.33203125" style="37" customWidth="1"/>
    <col min="6180" max="6400" width="9" style="37"/>
    <col min="6401" max="6401" width="14.83203125" style="37" customWidth="1"/>
    <col min="6402" max="6410" width="2.5" style="37" customWidth="1"/>
    <col min="6411" max="6411" width="2.6640625" style="37" customWidth="1"/>
    <col min="6412" max="6420" width="2.5" style="37" customWidth="1"/>
    <col min="6421" max="6421" width="2.6640625" style="37" customWidth="1"/>
    <col min="6422" max="6430" width="2.5" style="37" customWidth="1"/>
    <col min="6431" max="6431" width="2.6640625" style="37" customWidth="1"/>
    <col min="6432" max="6432" width="5.33203125" style="37" customWidth="1"/>
    <col min="6433" max="6433" width="5.83203125" style="37" customWidth="1"/>
    <col min="6434" max="6434" width="4" style="37" customWidth="1"/>
    <col min="6435" max="6435" width="4.33203125" style="37" customWidth="1"/>
    <col min="6436" max="6656" width="9" style="37"/>
    <col min="6657" max="6657" width="14.83203125" style="37" customWidth="1"/>
    <col min="6658" max="6666" width="2.5" style="37" customWidth="1"/>
    <col min="6667" max="6667" width="2.6640625" style="37" customWidth="1"/>
    <col min="6668" max="6676" width="2.5" style="37" customWidth="1"/>
    <col min="6677" max="6677" width="2.6640625" style="37" customWidth="1"/>
    <col min="6678" max="6686" width="2.5" style="37" customWidth="1"/>
    <col min="6687" max="6687" width="2.6640625" style="37" customWidth="1"/>
    <col min="6688" max="6688" width="5.33203125" style="37" customWidth="1"/>
    <col min="6689" max="6689" width="5.83203125" style="37" customWidth="1"/>
    <col min="6690" max="6690" width="4" style="37" customWidth="1"/>
    <col min="6691" max="6691" width="4.33203125" style="37" customWidth="1"/>
    <col min="6692" max="6912" width="9" style="37"/>
    <col min="6913" max="6913" width="14.83203125" style="37" customWidth="1"/>
    <col min="6914" max="6922" width="2.5" style="37" customWidth="1"/>
    <col min="6923" max="6923" width="2.6640625" style="37" customWidth="1"/>
    <col min="6924" max="6932" width="2.5" style="37" customWidth="1"/>
    <col min="6933" max="6933" width="2.6640625" style="37" customWidth="1"/>
    <col min="6934" max="6942" width="2.5" style="37" customWidth="1"/>
    <col min="6943" max="6943" width="2.6640625" style="37" customWidth="1"/>
    <col min="6944" max="6944" width="5.33203125" style="37" customWidth="1"/>
    <col min="6945" max="6945" width="5.83203125" style="37" customWidth="1"/>
    <col min="6946" max="6946" width="4" style="37" customWidth="1"/>
    <col min="6947" max="6947" width="4.33203125" style="37" customWidth="1"/>
    <col min="6948" max="7168" width="9" style="37"/>
    <col min="7169" max="7169" width="14.83203125" style="37" customWidth="1"/>
    <col min="7170" max="7178" width="2.5" style="37" customWidth="1"/>
    <col min="7179" max="7179" width="2.6640625" style="37" customWidth="1"/>
    <col min="7180" max="7188" width="2.5" style="37" customWidth="1"/>
    <col min="7189" max="7189" width="2.6640625" style="37" customWidth="1"/>
    <col min="7190" max="7198" width="2.5" style="37" customWidth="1"/>
    <col min="7199" max="7199" width="2.6640625" style="37" customWidth="1"/>
    <col min="7200" max="7200" width="5.33203125" style="37" customWidth="1"/>
    <col min="7201" max="7201" width="5.83203125" style="37" customWidth="1"/>
    <col min="7202" max="7202" width="4" style="37" customWidth="1"/>
    <col min="7203" max="7203" width="4.33203125" style="37" customWidth="1"/>
    <col min="7204" max="7424" width="9" style="37"/>
    <col min="7425" max="7425" width="14.83203125" style="37" customWidth="1"/>
    <col min="7426" max="7434" width="2.5" style="37" customWidth="1"/>
    <col min="7435" max="7435" width="2.6640625" style="37" customWidth="1"/>
    <col min="7436" max="7444" width="2.5" style="37" customWidth="1"/>
    <col min="7445" max="7445" width="2.6640625" style="37" customWidth="1"/>
    <col min="7446" max="7454" width="2.5" style="37" customWidth="1"/>
    <col min="7455" max="7455" width="2.6640625" style="37" customWidth="1"/>
    <col min="7456" max="7456" width="5.33203125" style="37" customWidth="1"/>
    <col min="7457" max="7457" width="5.83203125" style="37" customWidth="1"/>
    <col min="7458" max="7458" width="4" style="37" customWidth="1"/>
    <col min="7459" max="7459" width="4.33203125" style="37" customWidth="1"/>
    <col min="7460" max="7680" width="9" style="37"/>
    <col min="7681" max="7681" width="14.83203125" style="37" customWidth="1"/>
    <col min="7682" max="7690" width="2.5" style="37" customWidth="1"/>
    <col min="7691" max="7691" width="2.6640625" style="37" customWidth="1"/>
    <col min="7692" max="7700" width="2.5" style="37" customWidth="1"/>
    <col min="7701" max="7701" width="2.6640625" style="37" customWidth="1"/>
    <col min="7702" max="7710" width="2.5" style="37" customWidth="1"/>
    <col min="7711" max="7711" width="2.6640625" style="37" customWidth="1"/>
    <col min="7712" max="7712" width="5.33203125" style="37" customWidth="1"/>
    <col min="7713" max="7713" width="5.83203125" style="37" customWidth="1"/>
    <col min="7714" max="7714" width="4" style="37" customWidth="1"/>
    <col min="7715" max="7715" width="4.33203125" style="37" customWidth="1"/>
    <col min="7716" max="7936" width="9" style="37"/>
    <col min="7937" max="7937" width="14.83203125" style="37" customWidth="1"/>
    <col min="7938" max="7946" width="2.5" style="37" customWidth="1"/>
    <col min="7947" max="7947" width="2.6640625" style="37" customWidth="1"/>
    <col min="7948" max="7956" width="2.5" style="37" customWidth="1"/>
    <col min="7957" max="7957" width="2.6640625" style="37" customWidth="1"/>
    <col min="7958" max="7966" width="2.5" style="37" customWidth="1"/>
    <col min="7967" max="7967" width="2.6640625" style="37" customWidth="1"/>
    <col min="7968" max="7968" width="5.33203125" style="37" customWidth="1"/>
    <col min="7969" max="7969" width="5.83203125" style="37" customWidth="1"/>
    <col min="7970" max="7970" width="4" style="37" customWidth="1"/>
    <col min="7971" max="7971" width="4.33203125" style="37" customWidth="1"/>
    <col min="7972" max="8192" width="9" style="37"/>
    <col min="8193" max="8193" width="14.83203125" style="37" customWidth="1"/>
    <col min="8194" max="8202" width="2.5" style="37" customWidth="1"/>
    <col min="8203" max="8203" width="2.6640625" style="37" customWidth="1"/>
    <col min="8204" max="8212" width="2.5" style="37" customWidth="1"/>
    <col min="8213" max="8213" width="2.6640625" style="37" customWidth="1"/>
    <col min="8214" max="8222" width="2.5" style="37" customWidth="1"/>
    <col min="8223" max="8223" width="2.6640625" style="37" customWidth="1"/>
    <col min="8224" max="8224" width="5.33203125" style="37" customWidth="1"/>
    <col min="8225" max="8225" width="5.83203125" style="37" customWidth="1"/>
    <col min="8226" max="8226" width="4" style="37" customWidth="1"/>
    <col min="8227" max="8227" width="4.33203125" style="37" customWidth="1"/>
    <col min="8228" max="8448" width="9" style="37"/>
    <col min="8449" max="8449" width="14.83203125" style="37" customWidth="1"/>
    <col min="8450" max="8458" width="2.5" style="37" customWidth="1"/>
    <col min="8459" max="8459" width="2.6640625" style="37" customWidth="1"/>
    <col min="8460" max="8468" width="2.5" style="37" customWidth="1"/>
    <col min="8469" max="8469" width="2.6640625" style="37" customWidth="1"/>
    <col min="8470" max="8478" width="2.5" style="37" customWidth="1"/>
    <col min="8479" max="8479" width="2.6640625" style="37" customWidth="1"/>
    <col min="8480" max="8480" width="5.33203125" style="37" customWidth="1"/>
    <col min="8481" max="8481" width="5.83203125" style="37" customWidth="1"/>
    <col min="8482" max="8482" width="4" style="37" customWidth="1"/>
    <col min="8483" max="8483" width="4.33203125" style="37" customWidth="1"/>
    <col min="8484" max="8704" width="9" style="37"/>
    <col min="8705" max="8705" width="14.83203125" style="37" customWidth="1"/>
    <col min="8706" max="8714" width="2.5" style="37" customWidth="1"/>
    <col min="8715" max="8715" width="2.6640625" style="37" customWidth="1"/>
    <col min="8716" max="8724" width="2.5" style="37" customWidth="1"/>
    <col min="8725" max="8725" width="2.6640625" style="37" customWidth="1"/>
    <col min="8726" max="8734" width="2.5" style="37" customWidth="1"/>
    <col min="8735" max="8735" width="2.6640625" style="37" customWidth="1"/>
    <col min="8736" max="8736" width="5.33203125" style="37" customWidth="1"/>
    <col min="8737" max="8737" width="5.83203125" style="37" customWidth="1"/>
    <col min="8738" max="8738" width="4" style="37" customWidth="1"/>
    <col min="8739" max="8739" width="4.33203125" style="37" customWidth="1"/>
    <col min="8740" max="8960" width="9" style="37"/>
    <col min="8961" max="8961" width="14.83203125" style="37" customWidth="1"/>
    <col min="8962" max="8970" width="2.5" style="37" customWidth="1"/>
    <col min="8971" max="8971" width="2.6640625" style="37" customWidth="1"/>
    <col min="8972" max="8980" width="2.5" style="37" customWidth="1"/>
    <col min="8981" max="8981" width="2.6640625" style="37" customWidth="1"/>
    <col min="8982" max="8990" width="2.5" style="37" customWidth="1"/>
    <col min="8991" max="8991" width="2.6640625" style="37" customWidth="1"/>
    <col min="8992" max="8992" width="5.33203125" style="37" customWidth="1"/>
    <col min="8993" max="8993" width="5.83203125" style="37" customWidth="1"/>
    <col min="8994" max="8994" width="4" style="37" customWidth="1"/>
    <col min="8995" max="8995" width="4.33203125" style="37" customWidth="1"/>
    <col min="8996" max="9216" width="9" style="37"/>
    <col min="9217" max="9217" width="14.83203125" style="37" customWidth="1"/>
    <col min="9218" max="9226" width="2.5" style="37" customWidth="1"/>
    <col min="9227" max="9227" width="2.6640625" style="37" customWidth="1"/>
    <col min="9228" max="9236" width="2.5" style="37" customWidth="1"/>
    <col min="9237" max="9237" width="2.6640625" style="37" customWidth="1"/>
    <col min="9238" max="9246" width="2.5" style="37" customWidth="1"/>
    <col min="9247" max="9247" width="2.6640625" style="37" customWidth="1"/>
    <col min="9248" max="9248" width="5.33203125" style="37" customWidth="1"/>
    <col min="9249" max="9249" width="5.83203125" style="37" customWidth="1"/>
    <col min="9250" max="9250" width="4" style="37" customWidth="1"/>
    <col min="9251" max="9251" width="4.33203125" style="37" customWidth="1"/>
    <col min="9252" max="9472" width="9" style="37"/>
    <col min="9473" max="9473" width="14.83203125" style="37" customWidth="1"/>
    <col min="9474" max="9482" width="2.5" style="37" customWidth="1"/>
    <col min="9483" max="9483" width="2.6640625" style="37" customWidth="1"/>
    <col min="9484" max="9492" width="2.5" style="37" customWidth="1"/>
    <col min="9493" max="9493" width="2.6640625" style="37" customWidth="1"/>
    <col min="9494" max="9502" width="2.5" style="37" customWidth="1"/>
    <col min="9503" max="9503" width="2.6640625" style="37" customWidth="1"/>
    <col min="9504" max="9504" width="5.33203125" style="37" customWidth="1"/>
    <col min="9505" max="9505" width="5.83203125" style="37" customWidth="1"/>
    <col min="9506" max="9506" width="4" style="37" customWidth="1"/>
    <col min="9507" max="9507" width="4.33203125" style="37" customWidth="1"/>
    <col min="9508" max="9728" width="9" style="37"/>
    <col min="9729" max="9729" width="14.83203125" style="37" customWidth="1"/>
    <col min="9730" max="9738" width="2.5" style="37" customWidth="1"/>
    <col min="9739" max="9739" width="2.6640625" style="37" customWidth="1"/>
    <col min="9740" max="9748" width="2.5" style="37" customWidth="1"/>
    <col min="9749" max="9749" width="2.6640625" style="37" customWidth="1"/>
    <col min="9750" max="9758" width="2.5" style="37" customWidth="1"/>
    <col min="9759" max="9759" width="2.6640625" style="37" customWidth="1"/>
    <col min="9760" max="9760" width="5.33203125" style="37" customWidth="1"/>
    <col min="9761" max="9761" width="5.83203125" style="37" customWidth="1"/>
    <col min="9762" max="9762" width="4" style="37" customWidth="1"/>
    <col min="9763" max="9763" width="4.33203125" style="37" customWidth="1"/>
    <col min="9764" max="9984" width="9" style="37"/>
    <col min="9985" max="9985" width="14.83203125" style="37" customWidth="1"/>
    <col min="9986" max="9994" width="2.5" style="37" customWidth="1"/>
    <col min="9995" max="9995" width="2.6640625" style="37" customWidth="1"/>
    <col min="9996" max="10004" width="2.5" style="37" customWidth="1"/>
    <col min="10005" max="10005" width="2.6640625" style="37" customWidth="1"/>
    <col min="10006" max="10014" width="2.5" style="37" customWidth="1"/>
    <col min="10015" max="10015" width="2.6640625" style="37" customWidth="1"/>
    <col min="10016" max="10016" width="5.33203125" style="37" customWidth="1"/>
    <col min="10017" max="10017" width="5.83203125" style="37" customWidth="1"/>
    <col min="10018" max="10018" width="4" style="37" customWidth="1"/>
    <col min="10019" max="10019" width="4.33203125" style="37" customWidth="1"/>
    <col min="10020" max="10240" width="9" style="37"/>
    <col min="10241" max="10241" width="14.83203125" style="37" customWidth="1"/>
    <col min="10242" max="10250" width="2.5" style="37" customWidth="1"/>
    <col min="10251" max="10251" width="2.6640625" style="37" customWidth="1"/>
    <col min="10252" max="10260" width="2.5" style="37" customWidth="1"/>
    <col min="10261" max="10261" width="2.6640625" style="37" customWidth="1"/>
    <col min="10262" max="10270" width="2.5" style="37" customWidth="1"/>
    <col min="10271" max="10271" width="2.6640625" style="37" customWidth="1"/>
    <col min="10272" max="10272" width="5.33203125" style="37" customWidth="1"/>
    <col min="10273" max="10273" width="5.83203125" style="37" customWidth="1"/>
    <col min="10274" max="10274" width="4" style="37" customWidth="1"/>
    <col min="10275" max="10275" width="4.33203125" style="37" customWidth="1"/>
    <col min="10276" max="10496" width="9" style="37"/>
    <col min="10497" max="10497" width="14.83203125" style="37" customWidth="1"/>
    <col min="10498" max="10506" width="2.5" style="37" customWidth="1"/>
    <col min="10507" max="10507" width="2.6640625" style="37" customWidth="1"/>
    <col min="10508" max="10516" width="2.5" style="37" customWidth="1"/>
    <col min="10517" max="10517" width="2.6640625" style="37" customWidth="1"/>
    <col min="10518" max="10526" width="2.5" style="37" customWidth="1"/>
    <col min="10527" max="10527" width="2.6640625" style="37" customWidth="1"/>
    <col min="10528" max="10528" width="5.33203125" style="37" customWidth="1"/>
    <col min="10529" max="10529" width="5.83203125" style="37" customWidth="1"/>
    <col min="10530" max="10530" width="4" style="37" customWidth="1"/>
    <col min="10531" max="10531" width="4.33203125" style="37" customWidth="1"/>
    <col min="10532" max="10752" width="9" style="37"/>
    <col min="10753" max="10753" width="14.83203125" style="37" customWidth="1"/>
    <col min="10754" max="10762" width="2.5" style="37" customWidth="1"/>
    <col min="10763" max="10763" width="2.6640625" style="37" customWidth="1"/>
    <col min="10764" max="10772" width="2.5" style="37" customWidth="1"/>
    <col min="10773" max="10773" width="2.6640625" style="37" customWidth="1"/>
    <col min="10774" max="10782" width="2.5" style="37" customWidth="1"/>
    <col min="10783" max="10783" width="2.6640625" style="37" customWidth="1"/>
    <col min="10784" max="10784" width="5.33203125" style="37" customWidth="1"/>
    <col min="10785" max="10785" width="5.83203125" style="37" customWidth="1"/>
    <col min="10786" max="10786" width="4" style="37" customWidth="1"/>
    <col min="10787" max="10787" width="4.33203125" style="37" customWidth="1"/>
    <col min="10788" max="11008" width="9" style="37"/>
    <col min="11009" max="11009" width="14.83203125" style="37" customWidth="1"/>
    <col min="11010" max="11018" width="2.5" style="37" customWidth="1"/>
    <col min="11019" max="11019" width="2.6640625" style="37" customWidth="1"/>
    <col min="11020" max="11028" width="2.5" style="37" customWidth="1"/>
    <col min="11029" max="11029" width="2.6640625" style="37" customWidth="1"/>
    <col min="11030" max="11038" width="2.5" style="37" customWidth="1"/>
    <col min="11039" max="11039" width="2.6640625" style="37" customWidth="1"/>
    <col min="11040" max="11040" width="5.33203125" style="37" customWidth="1"/>
    <col min="11041" max="11041" width="5.83203125" style="37" customWidth="1"/>
    <col min="11042" max="11042" width="4" style="37" customWidth="1"/>
    <col min="11043" max="11043" width="4.33203125" style="37" customWidth="1"/>
    <col min="11044" max="11264" width="9" style="37"/>
    <col min="11265" max="11265" width="14.83203125" style="37" customWidth="1"/>
    <col min="11266" max="11274" width="2.5" style="37" customWidth="1"/>
    <col min="11275" max="11275" width="2.6640625" style="37" customWidth="1"/>
    <col min="11276" max="11284" width="2.5" style="37" customWidth="1"/>
    <col min="11285" max="11285" width="2.6640625" style="37" customWidth="1"/>
    <col min="11286" max="11294" width="2.5" style="37" customWidth="1"/>
    <col min="11295" max="11295" width="2.6640625" style="37" customWidth="1"/>
    <col min="11296" max="11296" width="5.33203125" style="37" customWidth="1"/>
    <col min="11297" max="11297" width="5.83203125" style="37" customWidth="1"/>
    <col min="11298" max="11298" width="4" style="37" customWidth="1"/>
    <col min="11299" max="11299" width="4.33203125" style="37" customWidth="1"/>
    <col min="11300" max="11520" width="9" style="37"/>
    <col min="11521" max="11521" width="14.83203125" style="37" customWidth="1"/>
    <col min="11522" max="11530" width="2.5" style="37" customWidth="1"/>
    <col min="11531" max="11531" width="2.6640625" style="37" customWidth="1"/>
    <col min="11532" max="11540" width="2.5" style="37" customWidth="1"/>
    <col min="11541" max="11541" width="2.6640625" style="37" customWidth="1"/>
    <col min="11542" max="11550" width="2.5" style="37" customWidth="1"/>
    <col min="11551" max="11551" width="2.6640625" style="37" customWidth="1"/>
    <col min="11552" max="11552" width="5.33203125" style="37" customWidth="1"/>
    <col min="11553" max="11553" width="5.83203125" style="37" customWidth="1"/>
    <col min="11554" max="11554" width="4" style="37" customWidth="1"/>
    <col min="11555" max="11555" width="4.33203125" style="37" customWidth="1"/>
    <col min="11556" max="11776" width="9" style="37"/>
    <col min="11777" max="11777" width="14.83203125" style="37" customWidth="1"/>
    <col min="11778" max="11786" width="2.5" style="37" customWidth="1"/>
    <col min="11787" max="11787" width="2.6640625" style="37" customWidth="1"/>
    <col min="11788" max="11796" width="2.5" style="37" customWidth="1"/>
    <col min="11797" max="11797" width="2.6640625" style="37" customWidth="1"/>
    <col min="11798" max="11806" width="2.5" style="37" customWidth="1"/>
    <col min="11807" max="11807" width="2.6640625" style="37" customWidth="1"/>
    <col min="11808" max="11808" width="5.33203125" style="37" customWidth="1"/>
    <col min="11809" max="11809" width="5.83203125" style="37" customWidth="1"/>
    <col min="11810" max="11810" width="4" style="37" customWidth="1"/>
    <col min="11811" max="11811" width="4.33203125" style="37" customWidth="1"/>
    <col min="11812" max="12032" width="9" style="37"/>
    <col min="12033" max="12033" width="14.83203125" style="37" customWidth="1"/>
    <col min="12034" max="12042" width="2.5" style="37" customWidth="1"/>
    <col min="12043" max="12043" width="2.6640625" style="37" customWidth="1"/>
    <col min="12044" max="12052" width="2.5" style="37" customWidth="1"/>
    <col min="12053" max="12053" width="2.6640625" style="37" customWidth="1"/>
    <col min="12054" max="12062" width="2.5" style="37" customWidth="1"/>
    <col min="12063" max="12063" width="2.6640625" style="37" customWidth="1"/>
    <col min="12064" max="12064" width="5.33203125" style="37" customWidth="1"/>
    <col min="12065" max="12065" width="5.83203125" style="37" customWidth="1"/>
    <col min="12066" max="12066" width="4" style="37" customWidth="1"/>
    <col min="12067" max="12067" width="4.33203125" style="37" customWidth="1"/>
    <col min="12068" max="12288" width="9" style="37"/>
    <col min="12289" max="12289" width="14.83203125" style="37" customWidth="1"/>
    <col min="12290" max="12298" width="2.5" style="37" customWidth="1"/>
    <col min="12299" max="12299" width="2.6640625" style="37" customWidth="1"/>
    <col min="12300" max="12308" width="2.5" style="37" customWidth="1"/>
    <col min="12309" max="12309" width="2.6640625" style="37" customWidth="1"/>
    <col min="12310" max="12318" width="2.5" style="37" customWidth="1"/>
    <col min="12319" max="12319" width="2.6640625" style="37" customWidth="1"/>
    <col min="12320" max="12320" width="5.33203125" style="37" customWidth="1"/>
    <col min="12321" max="12321" width="5.83203125" style="37" customWidth="1"/>
    <col min="12322" max="12322" width="4" style="37" customWidth="1"/>
    <col min="12323" max="12323" width="4.33203125" style="37" customWidth="1"/>
    <col min="12324" max="12544" width="9" style="37"/>
    <col min="12545" max="12545" width="14.83203125" style="37" customWidth="1"/>
    <col min="12546" max="12554" width="2.5" style="37" customWidth="1"/>
    <col min="12555" max="12555" width="2.6640625" style="37" customWidth="1"/>
    <col min="12556" max="12564" width="2.5" style="37" customWidth="1"/>
    <col min="12565" max="12565" width="2.6640625" style="37" customWidth="1"/>
    <col min="12566" max="12574" width="2.5" style="37" customWidth="1"/>
    <col min="12575" max="12575" width="2.6640625" style="37" customWidth="1"/>
    <col min="12576" max="12576" width="5.33203125" style="37" customWidth="1"/>
    <col min="12577" max="12577" width="5.83203125" style="37" customWidth="1"/>
    <col min="12578" max="12578" width="4" style="37" customWidth="1"/>
    <col min="12579" max="12579" width="4.33203125" style="37" customWidth="1"/>
    <col min="12580" max="12800" width="9" style="37"/>
    <col min="12801" max="12801" width="14.83203125" style="37" customWidth="1"/>
    <col min="12802" max="12810" width="2.5" style="37" customWidth="1"/>
    <col min="12811" max="12811" width="2.6640625" style="37" customWidth="1"/>
    <col min="12812" max="12820" width="2.5" style="37" customWidth="1"/>
    <col min="12821" max="12821" width="2.6640625" style="37" customWidth="1"/>
    <col min="12822" max="12830" width="2.5" style="37" customWidth="1"/>
    <col min="12831" max="12831" width="2.6640625" style="37" customWidth="1"/>
    <col min="12832" max="12832" width="5.33203125" style="37" customWidth="1"/>
    <col min="12833" max="12833" width="5.83203125" style="37" customWidth="1"/>
    <col min="12834" max="12834" width="4" style="37" customWidth="1"/>
    <col min="12835" max="12835" width="4.33203125" style="37" customWidth="1"/>
    <col min="12836" max="13056" width="9" style="37"/>
    <col min="13057" max="13057" width="14.83203125" style="37" customWidth="1"/>
    <col min="13058" max="13066" width="2.5" style="37" customWidth="1"/>
    <col min="13067" max="13067" width="2.6640625" style="37" customWidth="1"/>
    <col min="13068" max="13076" width="2.5" style="37" customWidth="1"/>
    <col min="13077" max="13077" width="2.6640625" style="37" customWidth="1"/>
    <col min="13078" max="13086" width="2.5" style="37" customWidth="1"/>
    <col min="13087" max="13087" width="2.6640625" style="37" customWidth="1"/>
    <col min="13088" max="13088" width="5.33203125" style="37" customWidth="1"/>
    <col min="13089" max="13089" width="5.83203125" style="37" customWidth="1"/>
    <col min="13090" max="13090" width="4" style="37" customWidth="1"/>
    <col min="13091" max="13091" width="4.33203125" style="37" customWidth="1"/>
    <col min="13092" max="13312" width="9" style="37"/>
    <col min="13313" max="13313" width="14.83203125" style="37" customWidth="1"/>
    <col min="13314" max="13322" width="2.5" style="37" customWidth="1"/>
    <col min="13323" max="13323" width="2.6640625" style="37" customWidth="1"/>
    <col min="13324" max="13332" width="2.5" style="37" customWidth="1"/>
    <col min="13333" max="13333" width="2.6640625" style="37" customWidth="1"/>
    <col min="13334" max="13342" width="2.5" style="37" customWidth="1"/>
    <col min="13343" max="13343" width="2.6640625" style="37" customWidth="1"/>
    <col min="13344" max="13344" width="5.33203125" style="37" customWidth="1"/>
    <col min="13345" max="13345" width="5.83203125" style="37" customWidth="1"/>
    <col min="13346" max="13346" width="4" style="37" customWidth="1"/>
    <col min="13347" max="13347" width="4.33203125" style="37" customWidth="1"/>
    <col min="13348" max="13568" width="9" style="37"/>
    <col min="13569" max="13569" width="14.83203125" style="37" customWidth="1"/>
    <col min="13570" max="13578" width="2.5" style="37" customWidth="1"/>
    <col min="13579" max="13579" width="2.6640625" style="37" customWidth="1"/>
    <col min="13580" max="13588" width="2.5" style="37" customWidth="1"/>
    <col min="13589" max="13589" width="2.6640625" style="37" customWidth="1"/>
    <col min="13590" max="13598" width="2.5" style="37" customWidth="1"/>
    <col min="13599" max="13599" width="2.6640625" style="37" customWidth="1"/>
    <col min="13600" max="13600" width="5.33203125" style="37" customWidth="1"/>
    <col min="13601" max="13601" width="5.83203125" style="37" customWidth="1"/>
    <col min="13602" max="13602" width="4" style="37" customWidth="1"/>
    <col min="13603" max="13603" width="4.33203125" style="37" customWidth="1"/>
    <col min="13604" max="13824" width="9" style="37"/>
    <col min="13825" max="13825" width="14.83203125" style="37" customWidth="1"/>
    <col min="13826" max="13834" width="2.5" style="37" customWidth="1"/>
    <col min="13835" max="13835" width="2.6640625" style="37" customWidth="1"/>
    <col min="13836" max="13844" width="2.5" style="37" customWidth="1"/>
    <col min="13845" max="13845" width="2.6640625" style="37" customWidth="1"/>
    <col min="13846" max="13854" width="2.5" style="37" customWidth="1"/>
    <col min="13855" max="13855" width="2.6640625" style="37" customWidth="1"/>
    <col min="13856" max="13856" width="5.33203125" style="37" customWidth="1"/>
    <col min="13857" max="13857" width="5.83203125" style="37" customWidth="1"/>
    <col min="13858" max="13858" width="4" style="37" customWidth="1"/>
    <col min="13859" max="13859" width="4.33203125" style="37" customWidth="1"/>
    <col min="13860" max="14080" width="9" style="37"/>
    <col min="14081" max="14081" width="14.83203125" style="37" customWidth="1"/>
    <col min="14082" max="14090" width="2.5" style="37" customWidth="1"/>
    <col min="14091" max="14091" width="2.6640625" style="37" customWidth="1"/>
    <col min="14092" max="14100" width="2.5" style="37" customWidth="1"/>
    <col min="14101" max="14101" width="2.6640625" style="37" customWidth="1"/>
    <col min="14102" max="14110" width="2.5" style="37" customWidth="1"/>
    <col min="14111" max="14111" width="2.6640625" style="37" customWidth="1"/>
    <col min="14112" max="14112" width="5.33203125" style="37" customWidth="1"/>
    <col min="14113" max="14113" width="5.83203125" style="37" customWidth="1"/>
    <col min="14114" max="14114" width="4" style="37" customWidth="1"/>
    <col min="14115" max="14115" width="4.33203125" style="37" customWidth="1"/>
    <col min="14116" max="14336" width="9" style="37"/>
    <col min="14337" max="14337" width="14.83203125" style="37" customWidth="1"/>
    <col min="14338" max="14346" width="2.5" style="37" customWidth="1"/>
    <col min="14347" max="14347" width="2.6640625" style="37" customWidth="1"/>
    <col min="14348" max="14356" width="2.5" style="37" customWidth="1"/>
    <col min="14357" max="14357" width="2.6640625" style="37" customWidth="1"/>
    <col min="14358" max="14366" width="2.5" style="37" customWidth="1"/>
    <col min="14367" max="14367" width="2.6640625" style="37" customWidth="1"/>
    <col min="14368" max="14368" width="5.33203125" style="37" customWidth="1"/>
    <col min="14369" max="14369" width="5.83203125" style="37" customWidth="1"/>
    <col min="14370" max="14370" width="4" style="37" customWidth="1"/>
    <col min="14371" max="14371" width="4.33203125" style="37" customWidth="1"/>
    <col min="14372" max="14592" width="9" style="37"/>
    <col min="14593" max="14593" width="14.83203125" style="37" customWidth="1"/>
    <col min="14594" max="14602" width="2.5" style="37" customWidth="1"/>
    <col min="14603" max="14603" width="2.6640625" style="37" customWidth="1"/>
    <col min="14604" max="14612" width="2.5" style="37" customWidth="1"/>
    <col min="14613" max="14613" width="2.6640625" style="37" customWidth="1"/>
    <col min="14614" max="14622" width="2.5" style="37" customWidth="1"/>
    <col min="14623" max="14623" width="2.6640625" style="37" customWidth="1"/>
    <col min="14624" max="14624" width="5.33203125" style="37" customWidth="1"/>
    <col min="14625" max="14625" width="5.83203125" style="37" customWidth="1"/>
    <col min="14626" max="14626" width="4" style="37" customWidth="1"/>
    <col min="14627" max="14627" width="4.33203125" style="37" customWidth="1"/>
    <col min="14628" max="14848" width="9" style="37"/>
    <col min="14849" max="14849" width="14.83203125" style="37" customWidth="1"/>
    <col min="14850" max="14858" width="2.5" style="37" customWidth="1"/>
    <col min="14859" max="14859" width="2.6640625" style="37" customWidth="1"/>
    <col min="14860" max="14868" width="2.5" style="37" customWidth="1"/>
    <col min="14869" max="14869" width="2.6640625" style="37" customWidth="1"/>
    <col min="14870" max="14878" width="2.5" style="37" customWidth="1"/>
    <col min="14879" max="14879" width="2.6640625" style="37" customWidth="1"/>
    <col min="14880" max="14880" width="5.33203125" style="37" customWidth="1"/>
    <col min="14881" max="14881" width="5.83203125" style="37" customWidth="1"/>
    <col min="14882" max="14882" width="4" style="37" customWidth="1"/>
    <col min="14883" max="14883" width="4.33203125" style="37" customWidth="1"/>
    <col min="14884" max="15104" width="9" style="37"/>
    <col min="15105" max="15105" width="14.83203125" style="37" customWidth="1"/>
    <col min="15106" max="15114" width="2.5" style="37" customWidth="1"/>
    <col min="15115" max="15115" width="2.6640625" style="37" customWidth="1"/>
    <col min="15116" max="15124" width="2.5" style="37" customWidth="1"/>
    <col min="15125" max="15125" width="2.6640625" style="37" customWidth="1"/>
    <col min="15126" max="15134" width="2.5" style="37" customWidth="1"/>
    <col min="15135" max="15135" width="2.6640625" style="37" customWidth="1"/>
    <col min="15136" max="15136" width="5.33203125" style="37" customWidth="1"/>
    <col min="15137" max="15137" width="5.83203125" style="37" customWidth="1"/>
    <col min="15138" max="15138" width="4" style="37" customWidth="1"/>
    <col min="15139" max="15139" width="4.33203125" style="37" customWidth="1"/>
    <col min="15140" max="15360" width="9" style="37"/>
    <col min="15361" max="15361" width="14.83203125" style="37" customWidth="1"/>
    <col min="15362" max="15370" width="2.5" style="37" customWidth="1"/>
    <col min="15371" max="15371" width="2.6640625" style="37" customWidth="1"/>
    <col min="15372" max="15380" width="2.5" style="37" customWidth="1"/>
    <col min="15381" max="15381" width="2.6640625" style="37" customWidth="1"/>
    <col min="15382" max="15390" width="2.5" style="37" customWidth="1"/>
    <col min="15391" max="15391" width="2.6640625" style="37" customWidth="1"/>
    <col min="15392" max="15392" width="5.33203125" style="37" customWidth="1"/>
    <col min="15393" max="15393" width="5.83203125" style="37" customWidth="1"/>
    <col min="15394" max="15394" width="4" style="37" customWidth="1"/>
    <col min="15395" max="15395" width="4.33203125" style="37" customWidth="1"/>
    <col min="15396" max="15616" width="9" style="37"/>
    <col min="15617" max="15617" width="14.83203125" style="37" customWidth="1"/>
    <col min="15618" max="15626" width="2.5" style="37" customWidth="1"/>
    <col min="15627" max="15627" width="2.6640625" style="37" customWidth="1"/>
    <col min="15628" max="15636" width="2.5" style="37" customWidth="1"/>
    <col min="15637" max="15637" width="2.6640625" style="37" customWidth="1"/>
    <col min="15638" max="15646" width="2.5" style="37" customWidth="1"/>
    <col min="15647" max="15647" width="2.6640625" style="37" customWidth="1"/>
    <col min="15648" max="15648" width="5.33203125" style="37" customWidth="1"/>
    <col min="15649" max="15649" width="5.83203125" style="37" customWidth="1"/>
    <col min="15650" max="15650" width="4" style="37" customWidth="1"/>
    <col min="15651" max="15651" width="4.33203125" style="37" customWidth="1"/>
    <col min="15652" max="15872" width="9" style="37"/>
    <col min="15873" max="15873" width="14.83203125" style="37" customWidth="1"/>
    <col min="15874" max="15882" width="2.5" style="37" customWidth="1"/>
    <col min="15883" max="15883" width="2.6640625" style="37" customWidth="1"/>
    <col min="15884" max="15892" width="2.5" style="37" customWidth="1"/>
    <col min="15893" max="15893" width="2.6640625" style="37" customWidth="1"/>
    <col min="15894" max="15902" width="2.5" style="37" customWidth="1"/>
    <col min="15903" max="15903" width="2.6640625" style="37" customWidth="1"/>
    <col min="15904" max="15904" width="5.33203125" style="37" customWidth="1"/>
    <col min="15905" max="15905" width="5.83203125" style="37" customWidth="1"/>
    <col min="15906" max="15906" width="4" style="37" customWidth="1"/>
    <col min="15907" max="15907" width="4.33203125" style="37" customWidth="1"/>
    <col min="15908" max="16128" width="9" style="37"/>
    <col min="16129" max="16129" width="14.83203125" style="37" customWidth="1"/>
    <col min="16130" max="16138" width="2.5" style="37" customWidth="1"/>
    <col min="16139" max="16139" width="2.6640625" style="37" customWidth="1"/>
    <col min="16140" max="16148" width="2.5" style="37" customWidth="1"/>
    <col min="16149" max="16149" width="2.6640625" style="37" customWidth="1"/>
    <col min="16150" max="16158" width="2.5" style="37" customWidth="1"/>
    <col min="16159" max="16159" width="2.6640625" style="37" customWidth="1"/>
    <col min="16160" max="16160" width="5.33203125" style="37" customWidth="1"/>
    <col min="16161" max="16161" width="5.83203125" style="37" customWidth="1"/>
    <col min="16162" max="16162" width="4" style="37" customWidth="1"/>
    <col min="16163" max="16163" width="4.33203125" style="37" customWidth="1"/>
    <col min="16164" max="16384" width="9" style="37"/>
  </cols>
  <sheetData>
    <row r="1" spans="1:35" ht="13.5" customHeight="1">
      <c r="A1" s="2094" t="s">
        <v>3004</v>
      </c>
      <c r="B1" s="2095"/>
      <c r="C1" s="2095"/>
      <c r="D1" s="2095"/>
      <c r="E1" s="2095"/>
      <c r="F1" s="2095"/>
      <c r="G1" s="2095"/>
      <c r="H1" s="2095"/>
      <c r="I1" s="2095"/>
      <c r="J1" s="2095"/>
      <c r="K1" s="2095"/>
      <c r="L1" s="2095"/>
      <c r="M1" s="2095"/>
      <c r="N1" s="2095"/>
      <c r="O1" s="2095"/>
      <c r="P1" s="2095"/>
      <c r="Q1" s="2095"/>
      <c r="R1" s="2095"/>
      <c r="S1" s="2095"/>
      <c r="T1" s="2095"/>
      <c r="U1" s="2095"/>
      <c r="V1" s="2095"/>
      <c r="W1" s="2095"/>
      <c r="X1" s="2095"/>
      <c r="Y1" s="2095"/>
      <c r="Z1" s="2095"/>
      <c r="AA1" s="2095"/>
      <c r="AB1" s="2095"/>
      <c r="AC1" s="2095"/>
      <c r="AD1" s="2095"/>
      <c r="AE1" s="2095"/>
      <c r="AF1" s="2095"/>
      <c r="AG1" s="2095"/>
      <c r="AH1" s="2095"/>
      <c r="AI1" s="2096"/>
    </row>
    <row r="2" spans="1:35" ht="18.75" customHeight="1">
      <c r="A2" s="2097" t="s">
        <v>3003</v>
      </c>
      <c r="B2" s="2098"/>
      <c r="C2" s="2098"/>
      <c r="D2" s="2098" t="s">
        <v>3002</v>
      </c>
      <c r="E2" s="2098"/>
      <c r="F2" s="2098"/>
      <c r="G2" s="2098"/>
      <c r="H2" s="2098"/>
      <c r="I2" s="2098"/>
      <c r="J2" s="2098"/>
      <c r="K2" s="2299" t="s">
        <v>3001</v>
      </c>
      <c r="L2" s="2299"/>
      <c r="M2" s="2299"/>
      <c r="N2" s="2299"/>
      <c r="O2" s="2299"/>
      <c r="P2" s="2299"/>
      <c r="Q2" s="2299"/>
      <c r="R2" s="2299"/>
      <c r="S2" s="2299"/>
      <c r="T2" s="2299"/>
      <c r="U2" s="2299"/>
      <c r="V2" s="2299"/>
      <c r="W2" s="2299"/>
      <c r="X2" s="2098" t="s">
        <v>2930</v>
      </c>
      <c r="Y2" s="2098"/>
      <c r="Z2" s="2098"/>
      <c r="AA2" s="2098"/>
      <c r="AB2" s="2098"/>
      <c r="AC2" s="2098"/>
      <c r="AD2" s="2098"/>
      <c r="AE2" s="2098"/>
      <c r="AF2" s="2098"/>
      <c r="AG2" s="2098" t="s">
        <v>3000</v>
      </c>
      <c r="AH2" s="2098"/>
      <c r="AI2" s="2099"/>
    </row>
    <row r="3" spans="1:35" ht="21.75" customHeight="1">
      <c r="A3" s="2187" t="s">
        <v>2999</v>
      </c>
      <c r="B3" s="2165"/>
      <c r="C3" s="2165" t="s">
        <v>2998</v>
      </c>
      <c r="D3" s="2165"/>
      <c r="E3" s="2165"/>
      <c r="F3" s="2165"/>
      <c r="G3" s="2165"/>
      <c r="H3" s="2165"/>
      <c r="I3" s="2165"/>
      <c r="J3" s="2165"/>
      <c r="K3" s="2165"/>
      <c r="L3" s="2165"/>
      <c r="M3" s="2165"/>
      <c r="N3" s="2165"/>
      <c r="O3" s="2165"/>
      <c r="P3" s="2165"/>
      <c r="Q3" s="2165"/>
      <c r="R3" s="2165"/>
      <c r="S3" s="2165"/>
      <c r="T3" s="2188" t="s">
        <v>2889</v>
      </c>
      <c r="U3" s="2189"/>
      <c r="V3" s="2189"/>
      <c r="W3" s="2190"/>
      <c r="X3" s="2190"/>
      <c r="Y3" s="2191"/>
      <c r="Z3" s="2301" t="s">
        <v>2887</v>
      </c>
      <c r="AA3" s="2301"/>
      <c r="AB3" s="2301"/>
      <c r="AC3" s="2301"/>
      <c r="AD3" s="2301"/>
      <c r="AE3" s="2301"/>
      <c r="AF3" s="2301"/>
      <c r="AG3" s="2301"/>
      <c r="AH3" s="2301"/>
      <c r="AI3" s="2302"/>
    </row>
    <row r="4" spans="1:35" ht="21" customHeight="1">
      <c r="A4" s="1564" t="s">
        <v>2997</v>
      </c>
      <c r="B4" s="2165" t="s">
        <v>2996</v>
      </c>
      <c r="C4" s="2165"/>
      <c r="D4" s="2165"/>
      <c r="E4" s="2165"/>
      <c r="F4" s="2165"/>
      <c r="G4" s="2165" t="s">
        <v>2995</v>
      </c>
      <c r="H4" s="2165"/>
      <c r="I4" s="2165"/>
      <c r="J4" s="2165"/>
      <c r="K4" s="2165"/>
      <c r="L4" s="2165" t="s">
        <v>2994</v>
      </c>
      <c r="M4" s="2165"/>
      <c r="N4" s="2165"/>
      <c r="O4" s="2165"/>
      <c r="P4" s="2165"/>
      <c r="Q4" s="2165" t="s">
        <v>2993</v>
      </c>
      <c r="R4" s="2165"/>
      <c r="S4" s="2165"/>
      <c r="T4" s="2165"/>
      <c r="U4" s="2165"/>
      <c r="V4" s="2165"/>
      <c r="W4" s="2366" t="s">
        <v>2992</v>
      </c>
      <c r="X4" s="2367"/>
      <c r="Y4" s="2367"/>
      <c r="Z4" s="2367"/>
      <c r="AA4" s="2367"/>
      <c r="AB4" s="2367"/>
      <c r="AC4" s="2367"/>
      <c r="AD4" s="2367"/>
      <c r="AE4" s="2367"/>
      <c r="AF4" s="2367"/>
      <c r="AG4" s="2367"/>
      <c r="AH4" s="2367"/>
      <c r="AI4" s="2368"/>
    </row>
    <row r="5" spans="1:35" ht="34.5" customHeight="1" thickBot="1">
      <c r="A5" s="1594" t="s">
        <v>2922</v>
      </c>
      <c r="B5" s="2353"/>
      <c r="C5" s="2354"/>
      <c r="D5" s="2354"/>
      <c r="E5" s="2354"/>
      <c r="F5" s="2354"/>
      <c r="G5" s="2355"/>
      <c r="H5" s="2350" t="s">
        <v>2921</v>
      </c>
      <c r="I5" s="2351"/>
      <c r="J5" s="2351"/>
      <c r="K5" s="2351"/>
      <c r="L5" s="2351"/>
      <c r="M5" s="2352"/>
      <c r="N5" s="2353" t="s">
        <v>270</v>
      </c>
      <c r="O5" s="2354"/>
      <c r="P5" s="2354"/>
      <c r="Q5" s="2354"/>
      <c r="R5" s="2354"/>
      <c r="S5" s="2354"/>
      <c r="T5" s="2354"/>
      <c r="U5" s="2354"/>
      <c r="V5" s="2355"/>
      <c r="W5" s="2172" t="s">
        <v>2968</v>
      </c>
      <c r="X5" s="2173"/>
      <c r="Y5" s="2173"/>
      <c r="Z5" s="2173"/>
      <c r="AA5" s="2173"/>
      <c r="AB5" s="2173"/>
      <c r="AC5" s="2173"/>
      <c r="AD5" s="2173"/>
      <c r="AE5" s="2173"/>
      <c r="AF5" s="1593" t="s">
        <v>2991</v>
      </c>
      <c r="AG5" s="1592" t="s">
        <v>2990</v>
      </c>
      <c r="AH5" s="2356" t="s">
        <v>2989</v>
      </c>
      <c r="AI5" s="2357"/>
    </row>
    <row r="6" spans="1:35" ht="19.5" customHeight="1" thickBot="1">
      <c r="A6" s="1558" t="s">
        <v>2916</v>
      </c>
      <c r="B6" s="2176" t="s">
        <v>2915</v>
      </c>
      <c r="C6" s="2177"/>
      <c r="D6" s="2177"/>
      <c r="E6" s="2177"/>
      <c r="F6" s="2177"/>
      <c r="G6" s="2177"/>
      <c r="H6" s="2177"/>
      <c r="I6" s="2177"/>
      <c r="J6" s="2177"/>
      <c r="K6" s="2177"/>
      <c r="L6" s="2177"/>
      <c r="M6" s="2177"/>
      <c r="N6" s="2177"/>
      <c r="O6" s="2177"/>
      <c r="P6" s="2177"/>
      <c r="Q6" s="2177"/>
      <c r="R6" s="2177"/>
      <c r="S6" s="2177"/>
      <c r="T6" s="2177"/>
      <c r="U6" s="2177"/>
      <c r="V6" s="2177"/>
      <c r="W6" s="2177"/>
      <c r="X6" s="2177"/>
      <c r="Y6" s="2177"/>
      <c r="Z6" s="2177"/>
      <c r="AA6" s="2177"/>
      <c r="AB6" s="2177"/>
      <c r="AC6" s="2177"/>
      <c r="AD6" s="2177"/>
      <c r="AE6" s="2178"/>
      <c r="AF6" s="1557" t="s">
        <v>76</v>
      </c>
      <c r="AG6" s="1556" t="s">
        <v>454</v>
      </c>
      <c r="AH6" s="2170" t="s">
        <v>2199</v>
      </c>
      <c r="AI6" s="2171"/>
    </row>
    <row r="7" spans="1:35" ht="14" thickTop="1">
      <c r="A7" s="1555" t="s">
        <v>2914</v>
      </c>
      <c r="B7" s="2358"/>
      <c r="C7" s="2359"/>
      <c r="D7" s="2359"/>
      <c r="E7" s="2359"/>
      <c r="F7" s="2359"/>
      <c r="G7" s="2359"/>
      <c r="H7" s="2359"/>
      <c r="I7" s="2359"/>
      <c r="J7" s="2359"/>
      <c r="K7" s="2359"/>
      <c r="L7" s="2359"/>
      <c r="M7" s="2359"/>
      <c r="N7" s="2359"/>
      <c r="O7" s="2359"/>
      <c r="P7" s="2359"/>
      <c r="Q7" s="2359"/>
      <c r="R7" s="2359"/>
      <c r="S7" s="2359"/>
      <c r="T7" s="2359"/>
      <c r="U7" s="2359"/>
      <c r="V7" s="2359"/>
      <c r="W7" s="2359"/>
      <c r="X7" s="2359"/>
      <c r="Y7" s="2359"/>
      <c r="Z7" s="2359"/>
      <c r="AA7" s="2359"/>
      <c r="AB7" s="2359"/>
      <c r="AC7" s="2359"/>
      <c r="AD7" s="2359"/>
      <c r="AE7" s="2360"/>
      <c r="AF7" s="1588"/>
      <c r="AG7" s="1587"/>
      <c r="AH7" s="2361"/>
      <c r="AI7" s="2362"/>
    </row>
    <row r="8" spans="1:35">
      <c r="A8" s="1487" t="s">
        <v>2913</v>
      </c>
      <c r="B8" s="2326"/>
      <c r="C8" s="2327"/>
      <c r="D8" s="2327"/>
      <c r="E8" s="2327"/>
      <c r="F8" s="2327"/>
      <c r="G8" s="2327"/>
      <c r="H8" s="2327"/>
      <c r="I8" s="2327"/>
      <c r="J8" s="2327"/>
      <c r="K8" s="2327"/>
      <c r="L8" s="2327"/>
      <c r="M8" s="2327"/>
      <c r="N8" s="2327"/>
      <c r="O8" s="2327"/>
      <c r="P8" s="2327"/>
      <c r="Q8" s="2327"/>
      <c r="R8" s="2327"/>
      <c r="S8" s="2327"/>
      <c r="T8" s="2327"/>
      <c r="U8" s="2327"/>
      <c r="V8" s="2327"/>
      <c r="W8" s="2327"/>
      <c r="X8" s="2327"/>
      <c r="Y8" s="2327"/>
      <c r="Z8" s="2327"/>
      <c r="AA8" s="2327"/>
      <c r="AB8" s="2327"/>
      <c r="AC8" s="2327"/>
      <c r="AD8" s="2327"/>
      <c r="AE8" s="2328"/>
      <c r="AF8" s="1590"/>
      <c r="AG8" s="1589"/>
      <c r="AH8" s="2308"/>
      <c r="AI8" s="2309"/>
    </row>
    <row r="9" spans="1:35">
      <c r="A9" s="1591" t="s">
        <v>2912</v>
      </c>
      <c r="B9" s="2329"/>
      <c r="C9" s="2330"/>
      <c r="D9" s="2330"/>
      <c r="E9" s="2330"/>
      <c r="F9" s="2330"/>
      <c r="G9" s="2330"/>
      <c r="H9" s="2330"/>
      <c r="I9" s="2330"/>
      <c r="J9" s="2330"/>
      <c r="K9" s="2330"/>
      <c r="L9" s="2330"/>
      <c r="M9" s="2330"/>
      <c r="N9" s="2330"/>
      <c r="O9" s="2330"/>
      <c r="P9" s="2330"/>
      <c r="Q9" s="2330"/>
      <c r="R9" s="2330"/>
      <c r="S9" s="2330"/>
      <c r="T9" s="2330"/>
      <c r="U9" s="2330"/>
      <c r="V9" s="2330"/>
      <c r="W9" s="2330"/>
      <c r="X9" s="2330"/>
      <c r="Y9" s="2330"/>
      <c r="Z9" s="2330"/>
      <c r="AA9" s="2330"/>
      <c r="AB9" s="2330"/>
      <c r="AC9" s="2330"/>
      <c r="AD9" s="2330"/>
      <c r="AE9" s="2331"/>
      <c r="AF9" s="1588"/>
      <c r="AG9" s="1587"/>
      <c r="AH9" s="2135"/>
      <c r="AI9" s="2136"/>
    </row>
    <row r="10" spans="1:35">
      <c r="A10" s="1487" t="s">
        <v>2911</v>
      </c>
      <c r="B10" s="2326"/>
      <c r="C10" s="2327"/>
      <c r="D10" s="2327"/>
      <c r="E10" s="2327"/>
      <c r="F10" s="2327"/>
      <c r="G10" s="2327"/>
      <c r="H10" s="2327"/>
      <c r="I10" s="2327"/>
      <c r="J10" s="2327"/>
      <c r="K10" s="2327"/>
      <c r="L10" s="2327"/>
      <c r="M10" s="2327"/>
      <c r="N10" s="2327"/>
      <c r="O10" s="2327"/>
      <c r="P10" s="2327"/>
      <c r="Q10" s="2327"/>
      <c r="R10" s="2327"/>
      <c r="S10" s="2327"/>
      <c r="T10" s="2327"/>
      <c r="U10" s="2327"/>
      <c r="V10" s="2327"/>
      <c r="W10" s="2327"/>
      <c r="X10" s="2327"/>
      <c r="Y10" s="2327"/>
      <c r="Z10" s="2327"/>
      <c r="AA10" s="2327"/>
      <c r="AB10" s="2327"/>
      <c r="AC10" s="2327"/>
      <c r="AD10" s="2327"/>
      <c r="AE10" s="2328"/>
      <c r="AF10" s="1590"/>
      <c r="AG10" s="1589"/>
      <c r="AH10" s="2308"/>
      <c r="AI10" s="2309"/>
    </row>
    <row r="11" spans="1:35">
      <c r="A11" s="1591" t="s">
        <v>2910</v>
      </c>
      <c r="B11" s="2329"/>
      <c r="C11" s="2330"/>
      <c r="D11" s="2330"/>
      <c r="E11" s="2330"/>
      <c r="F11" s="2330"/>
      <c r="G11" s="2330"/>
      <c r="H11" s="2330"/>
      <c r="I11" s="2330"/>
      <c r="J11" s="2330"/>
      <c r="K11" s="2330"/>
      <c r="L11" s="2330"/>
      <c r="M11" s="2330"/>
      <c r="N11" s="2330"/>
      <c r="O11" s="2330"/>
      <c r="P11" s="2330"/>
      <c r="Q11" s="2330"/>
      <c r="R11" s="2330"/>
      <c r="S11" s="2330"/>
      <c r="T11" s="2330"/>
      <c r="U11" s="2330"/>
      <c r="V11" s="2330"/>
      <c r="W11" s="2330"/>
      <c r="X11" s="2330"/>
      <c r="Y11" s="2330"/>
      <c r="Z11" s="2330"/>
      <c r="AA11" s="2330"/>
      <c r="AB11" s="2330"/>
      <c r="AC11" s="2330"/>
      <c r="AD11" s="2330"/>
      <c r="AE11" s="2331"/>
      <c r="AF11" s="1588"/>
      <c r="AG11" s="1587"/>
      <c r="AH11" s="2135"/>
      <c r="AI11" s="2136"/>
    </row>
    <row r="12" spans="1:35">
      <c r="A12" s="1487" t="s">
        <v>2909</v>
      </c>
      <c r="B12" s="2326"/>
      <c r="C12" s="2327"/>
      <c r="D12" s="2327"/>
      <c r="E12" s="2327"/>
      <c r="F12" s="2327"/>
      <c r="G12" s="2327"/>
      <c r="H12" s="2327"/>
      <c r="I12" s="2327"/>
      <c r="J12" s="2327"/>
      <c r="K12" s="2327"/>
      <c r="L12" s="2327"/>
      <c r="M12" s="2327"/>
      <c r="N12" s="2327"/>
      <c r="O12" s="2327"/>
      <c r="P12" s="2327"/>
      <c r="Q12" s="2327"/>
      <c r="R12" s="2327"/>
      <c r="S12" s="2327"/>
      <c r="T12" s="2327"/>
      <c r="U12" s="2327"/>
      <c r="V12" s="2327"/>
      <c r="W12" s="2327"/>
      <c r="X12" s="2327"/>
      <c r="Y12" s="2327"/>
      <c r="Z12" s="2327"/>
      <c r="AA12" s="2327"/>
      <c r="AB12" s="2327"/>
      <c r="AC12" s="2327"/>
      <c r="AD12" s="2327"/>
      <c r="AE12" s="2328"/>
      <c r="AF12" s="1590"/>
      <c r="AG12" s="1589"/>
      <c r="AH12" s="2308"/>
      <c r="AI12" s="2309"/>
    </row>
    <row r="13" spans="1:35">
      <c r="A13" s="1488" t="s">
        <v>2908</v>
      </c>
      <c r="B13" s="2329"/>
      <c r="C13" s="2330"/>
      <c r="D13" s="2330"/>
      <c r="E13" s="2330"/>
      <c r="F13" s="2330"/>
      <c r="G13" s="2330"/>
      <c r="H13" s="2330"/>
      <c r="I13" s="2330"/>
      <c r="J13" s="2330"/>
      <c r="K13" s="2330"/>
      <c r="L13" s="2330"/>
      <c r="M13" s="2330"/>
      <c r="N13" s="2330"/>
      <c r="O13" s="2330"/>
      <c r="P13" s="2330"/>
      <c r="Q13" s="2330"/>
      <c r="R13" s="2330"/>
      <c r="S13" s="2330"/>
      <c r="T13" s="2330"/>
      <c r="U13" s="2330"/>
      <c r="V13" s="2330"/>
      <c r="W13" s="2330"/>
      <c r="X13" s="2330"/>
      <c r="Y13" s="2330"/>
      <c r="Z13" s="2330"/>
      <c r="AA13" s="2330"/>
      <c r="AB13" s="2330"/>
      <c r="AC13" s="2330"/>
      <c r="AD13" s="2330"/>
      <c r="AE13" s="2331"/>
      <c r="AF13" s="1588"/>
      <c r="AG13" s="1587"/>
      <c r="AH13" s="2135"/>
      <c r="AI13" s="2136"/>
    </row>
    <row r="14" spans="1:35">
      <c r="A14" s="1487" t="s">
        <v>2907</v>
      </c>
      <c r="B14" s="2363"/>
      <c r="C14" s="2364"/>
      <c r="D14" s="2364"/>
      <c r="E14" s="2364"/>
      <c r="F14" s="2364"/>
      <c r="G14" s="2364"/>
      <c r="H14" s="2364"/>
      <c r="I14" s="2364"/>
      <c r="J14" s="2364"/>
      <c r="K14" s="2364"/>
      <c r="L14" s="2364"/>
      <c r="M14" s="2364"/>
      <c r="N14" s="2364"/>
      <c r="O14" s="2364"/>
      <c r="P14" s="2364"/>
      <c r="Q14" s="2364"/>
      <c r="R14" s="2364"/>
      <c r="S14" s="2364"/>
      <c r="T14" s="2364"/>
      <c r="U14" s="2364"/>
      <c r="V14" s="2364"/>
      <c r="W14" s="2364"/>
      <c r="X14" s="2364"/>
      <c r="Y14" s="2364"/>
      <c r="Z14" s="2364"/>
      <c r="AA14" s="2364"/>
      <c r="AB14" s="2364"/>
      <c r="AC14" s="2364"/>
      <c r="AD14" s="2364"/>
      <c r="AE14" s="2365"/>
      <c r="AF14" s="1586"/>
      <c r="AG14" s="1585"/>
      <c r="AH14" s="2308"/>
      <c r="AI14" s="2309"/>
    </row>
    <row r="15" spans="1:35" ht="14" thickBot="1">
      <c r="A15" s="1466" t="s">
        <v>2907</v>
      </c>
      <c r="B15" s="2315"/>
      <c r="C15" s="2316"/>
      <c r="D15" s="2316"/>
      <c r="E15" s="2316"/>
      <c r="F15" s="2316"/>
      <c r="G15" s="2316"/>
      <c r="H15" s="2316"/>
      <c r="I15" s="2316"/>
      <c r="J15" s="2316"/>
      <c r="K15" s="2316"/>
      <c r="L15" s="2316"/>
      <c r="M15" s="2316"/>
      <c r="N15" s="2316"/>
      <c r="O15" s="2316"/>
      <c r="P15" s="2316"/>
      <c r="Q15" s="2316"/>
      <c r="R15" s="2316"/>
      <c r="S15" s="2316"/>
      <c r="T15" s="2316"/>
      <c r="U15" s="2316"/>
      <c r="V15" s="2316"/>
      <c r="W15" s="2316"/>
      <c r="X15" s="2316"/>
      <c r="Y15" s="2316"/>
      <c r="Z15" s="2316"/>
      <c r="AA15" s="2316"/>
      <c r="AB15" s="2316"/>
      <c r="AC15" s="2316"/>
      <c r="AD15" s="2316"/>
      <c r="AE15" s="2317"/>
      <c r="AF15" s="1584"/>
      <c r="AG15" s="1583"/>
      <c r="AH15" s="2318"/>
      <c r="AI15" s="2319"/>
    </row>
    <row r="16" spans="1:35" ht="42" customHeight="1" thickBot="1">
      <c r="A16" s="1582"/>
      <c r="B16" s="2167" t="s">
        <v>2960</v>
      </c>
      <c r="C16" s="2168"/>
      <c r="D16" s="2168"/>
      <c r="E16" s="2168"/>
      <c r="F16" s="2168"/>
      <c r="G16" s="2168"/>
      <c r="H16" s="2168"/>
      <c r="I16" s="2168"/>
      <c r="J16" s="2168"/>
      <c r="K16" s="2168"/>
      <c r="L16" s="2168"/>
      <c r="M16" s="2168"/>
      <c r="N16" s="2168"/>
      <c r="O16" s="2168"/>
      <c r="P16" s="2168"/>
      <c r="Q16" s="2168"/>
      <c r="R16" s="2168"/>
      <c r="S16" s="2168"/>
      <c r="T16" s="2168"/>
      <c r="U16" s="2168"/>
      <c r="V16" s="2168"/>
      <c r="W16" s="2168"/>
      <c r="X16" s="2168"/>
      <c r="Y16" s="2168"/>
      <c r="Z16" s="2168"/>
      <c r="AA16" s="2168"/>
      <c r="AB16" s="2168"/>
      <c r="AC16" s="2168"/>
      <c r="AD16" s="2168"/>
      <c r="AE16" s="2169"/>
      <c r="AF16" s="2324" t="s">
        <v>76</v>
      </c>
      <c r="AG16" s="2344" t="s">
        <v>2905</v>
      </c>
      <c r="AH16" s="2346" t="s">
        <v>2199</v>
      </c>
      <c r="AI16" s="2347"/>
    </row>
    <row r="17" spans="1:35" ht="15" thickTop="1" thickBot="1">
      <c r="A17" s="1547" t="s">
        <v>2904</v>
      </c>
      <c r="B17" s="2146" t="s">
        <v>2903</v>
      </c>
      <c r="C17" s="2147"/>
      <c r="D17" s="2147"/>
      <c r="E17" s="2147"/>
      <c r="F17" s="2148"/>
      <c r="G17" s="2149" t="s">
        <v>2959</v>
      </c>
      <c r="H17" s="2147"/>
      <c r="I17" s="2147"/>
      <c r="J17" s="2147"/>
      <c r="K17" s="2148"/>
      <c r="L17" s="2149" t="s">
        <v>2958</v>
      </c>
      <c r="M17" s="2147"/>
      <c r="N17" s="2147"/>
      <c r="O17" s="2147"/>
      <c r="P17" s="2148"/>
      <c r="Q17" s="2149" t="s">
        <v>2957</v>
      </c>
      <c r="R17" s="2147"/>
      <c r="S17" s="2147"/>
      <c r="T17" s="2147"/>
      <c r="U17" s="2148"/>
      <c r="V17" s="2149" t="s">
        <v>2956</v>
      </c>
      <c r="W17" s="2147"/>
      <c r="X17" s="2147"/>
      <c r="Y17" s="2147"/>
      <c r="Z17" s="2148"/>
      <c r="AA17" s="2149" t="s">
        <v>2955</v>
      </c>
      <c r="AB17" s="2147"/>
      <c r="AC17" s="2147"/>
      <c r="AD17" s="2147"/>
      <c r="AE17" s="2162"/>
      <c r="AF17" s="2325"/>
      <c r="AG17" s="2345"/>
      <c r="AH17" s="2348"/>
      <c r="AI17" s="2349"/>
    </row>
    <row r="18" spans="1:35" s="1595" customFormat="1" ht="12.75" customHeight="1" thickTop="1">
      <c r="A18" s="1581"/>
      <c r="B18" s="2343"/>
      <c r="C18" s="2321"/>
      <c r="D18" s="2321"/>
      <c r="E18" s="2321"/>
      <c r="F18" s="2322"/>
      <c r="G18" s="2320"/>
      <c r="H18" s="2321"/>
      <c r="I18" s="2321"/>
      <c r="J18" s="2321"/>
      <c r="K18" s="2322"/>
      <c r="L18" s="2320"/>
      <c r="M18" s="2321"/>
      <c r="N18" s="2321"/>
      <c r="O18" s="2321"/>
      <c r="P18" s="2322"/>
      <c r="Q18" s="2320"/>
      <c r="R18" s="2321"/>
      <c r="S18" s="2321"/>
      <c r="T18" s="2321"/>
      <c r="U18" s="2322"/>
      <c r="V18" s="2320"/>
      <c r="W18" s="2321"/>
      <c r="X18" s="2321"/>
      <c r="Y18" s="2321"/>
      <c r="Z18" s="2322"/>
      <c r="AA18" s="2320"/>
      <c r="AB18" s="2321"/>
      <c r="AC18" s="2321"/>
      <c r="AD18" s="2321"/>
      <c r="AE18" s="2323"/>
      <c r="AF18" s="1580"/>
      <c r="AG18" s="1597"/>
      <c r="AH18" s="2432"/>
      <c r="AI18" s="2433"/>
    </row>
    <row r="19" spans="1:35" s="1595" customFormat="1">
      <c r="A19" s="1570"/>
      <c r="B19" s="2338"/>
      <c r="C19" s="2339"/>
      <c r="D19" s="2339"/>
      <c r="E19" s="2339"/>
      <c r="F19" s="2340"/>
      <c r="G19" s="2341"/>
      <c r="H19" s="2339"/>
      <c r="I19" s="2339"/>
      <c r="J19" s="2339"/>
      <c r="K19" s="2340"/>
      <c r="L19" s="2341"/>
      <c r="M19" s="2339"/>
      <c r="N19" s="2339"/>
      <c r="O19" s="2339"/>
      <c r="P19" s="2340"/>
      <c r="Q19" s="2341"/>
      <c r="R19" s="2339"/>
      <c r="S19" s="2339"/>
      <c r="T19" s="2339"/>
      <c r="U19" s="2340"/>
      <c r="V19" s="2341"/>
      <c r="W19" s="2339"/>
      <c r="X19" s="2339"/>
      <c r="Y19" s="2339"/>
      <c r="Z19" s="2340"/>
      <c r="AA19" s="2341"/>
      <c r="AB19" s="2339"/>
      <c r="AC19" s="2339"/>
      <c r="AD19" s="2339"/>
      <c r="AE19" s="2342"/>
      <c r="AF19" s="1579"/>
      <c r="AG19" s="1596"/>
      <c r="AH19" s="2434"/>
      <c r="AI19" s="2435"/>
    </row>
    <row r="20" spans="1:35" s="1595" customFormat="1">
      <c r="A20" s="1571"/>
      <c r="B20" s="2310"/>
      <c r="C20" s="2311"/>
      <c r="D20" s="2311"/>
      <c r="E20" s="2311"/>
      <c r="F20" s="2312"/>
      <c r="G20" s="2313"/>
      <c r="H20" s="2311"/>
      <c r="I20" s="2311"/>
      <c r="J20" s="2311"/>
      <c r="K20" s="2312"/>
      <c r="L20" s="2313"/>
      <c r="M20" s="2311"/>
      <c r="N20" s="2311"/>
      <c r="O20" s="2311"/>
      <c r="P20" s="2312"/>
      <c r="Q20" s="2313"/>
      <c r="R20" s="2311"/>
      <c r="S20" s="2311"/>
      <c r="T20" s="2311"/>
      <c r="U20" s="2312"/>
      <c r="V20" s="2313"/>
      <c r="W20" s="2311"/>
      <c r="X20" s="2311"/>
      <c r="Y20" s="2311"/>
      <c r="Z20" s="2312"/>
      <c r="AA20" s="2313"/>
      <c r="AB20" s="2311"/>
      <c r="AC20" s="2311"/>
      <c r="AD20" s="2311"/>
      <c r="AE20" s="2314"/>
      <c r="AF20" s="1578"/>
      <c r="AG20" s="1577"/>
      <c r="AH20" s="2128"/>
      <c r="AI20" s="2129"/>
    </row>
    <row r="21" spans="1:35" s="1595" customFormat="1">
      <c r="A21" s="1541"/>
      <c r="B21" s="2130"/>
      <c r="C21" s="2131"/>
      <c r="D21" s="2131"/>
      <c r="E21" s="2131"/>
      <c r="F21" s="2132"/>
      <c r="G21" s="2133"/>
      <c r="H21" s="2131"/>
      <c r="I21" s="2131"/>
      <c r="J21" s="2131"/>
      <c r="K21" s="2132"/>
      <c r="L21" s="2133"/>
      <c r="M21" s="2131"/>
      <c r="N21" s="2131"/>
      <c r="O21" s="2131"/>
      <c r="P21" s="2132"/>
      <c r="Q21" s="2133"/>
      <c r="R21" s="2131"/>
      <c r="S21" s="2131"/>
      <c r="T21" s="2131"/>
      <c r="U21" s="2132"/>
      <c r="V21" s="2133"/>
      <c r="W21" s="2131"/>
      <c r="X21" s="2131"/>
      <c r="Y21" s="2131"/>
      <c r="Z21" s="2132"/>
      <c r="AA21" s="2133"/>
      <c r="AB21" s="2131"/>
      <c r="AC21" s="2131"/>
      <c r="AD21" s="2131"/>
      <c r="AE21" s="2134"/>
      <c r="AF21" s="1540"/>
      <c r="AG21" s="1539"/>
      <c r="AH21" s="2306"/>
      <c r="AI21" s="2307"/>
    </row>
    <row r="22" spans="1:35" s="1595" customFormat="1">
      <c r="A22" s="1538"/>
      <c r="B22" s="2137"/>
      <c r="C22" s="2126"/>
      <c r="D22" s="2126"/>
      <c r="E22" s="2126"/>
      <c r="F22" s="2138"/>
      <c r="G22" s="2125"/>
      <c r="H22" s="2126"/>
      <c r="I22" s="2126"/>
      <c r="J22" s="2126"/>
      <c r="K22" s="2138"/>
      <c r="L22" s="2125"/>
      <c r="M22" s="2126"/>
      <c r="N22" s="2126"/>
      <c r="O22" s="2126"/>
      <c r="P22" s="2138"/>
      <c r="Q22" s="2125"/>
      <c r="R22" s="2126"/>
      <c r="S22" s="2126"/>
      <c r="T22" s="2126"/>
      <c r="U22" s="2138"/>
      <c r="V22" s="2125"/>
      <c r="W22" s="2126"/>
      <c r="X22" s="2126"/>
      <c r="Y22" s="2126"/>
      <c r="Z22" s="2138"/>
      <c r="AA22" s="2125"/>
      <c r="AB22" s="2126"/>
      <c r="AC22" s="2126"/>
      <c r="AD22" s="2126"/>
      <c r="AE22" s="2127"/>
      <c r="AF22" s="1537"/>
      <c r="AG22" s="1536"/>
      <c r="AH22" s="2128"/>
      <c r="AI22" s="2129"/>
    </row>
    <row r="23" spans="1:35" s="1595" customFormat="1">
      <c r="A23" s="1541"/>
      <c r="B23" s="2130"/>
      <c r="C23" s="2131"/>
      <c r="D23" s="2131"/>
      <c r="E23" s="2131"/>
      <c r="F23" s="2132"/>
      <c r="G23" s="2133"/>
      <c r="H23" s="2131"/>
      <c r="I23" s="2131"/>
      <c r="J23" s="2131"/>
      <c r="K23" s="2132"/>
      <c r="L23" s="2133"/>
      <c r="M23" s="2131"/>
      <c r="N23" s="2131"/>
      <c r="O23" s="2131"/>
      <c r="P23" s="2132"/>
      <c r="Q23" s="2133"/>
      <c r="R23" s="2131"/>
      <c r="S23" s="2131"/>
      <c r="T23" s="2131"/>
      <c r="U23" s="2132"/>
      <c r="V23" s="2133"/>
      <c r="W23" s="2131"/>
      <c r="X23" s="2131"/>
      <c r="Y23" s="2131"/>
      <c r="Z23" s="2132"/>
      <c r="AA23" s="2133"/>
      <c r="AB23" s="2131"/>
      <c r="AC23" s="2131"/>
      <c r="AD23" s="2131"/>
      <c r="AE23" s="2134"/>
      <c r="AF23" s="1540"/>
      <c r="AG23" s="1539"/>
      <c r="AH23" s="2306"/>
      <c r="AI23" s="2307"/>
    </row>
    <row r="24" spans="1:35" s="1595" customFormat="1">
      <c r="A24" s="1538"/>
      <c r="B24" s="2137"/>
      <c r="C24" s="2126"/>
      <c r="D24" s="2126"/>
      <c r="E24" s="2126"/>
      <c r="F24" s="2138"/>
      <c r="G24" s="2125"/>
      <c r="H24" s="2126"/>
      <c r="I24" s="2126"/>
      <c r="J24" s="2126"/>
      <c r="K24" s="2138"/>
      <c r="L24" s="2125"/>
      <c r="M24" s="2126"/>
      <c r="N24" s="2126"/>
      <c r="O24" s="2126"/>
      <c r="P24" s="2138"/>
      <c r="Q24" s="2125"/>
      <c r="R24" s="2126"/>
      <c r="S24" s="2126"/>
      <c r="T24" s="2126"/>
      <c r="U24" s="2138"/>
      <c r="V24" s="2125"/>
      <c r="W24" s="2126"/>
      <c r="X24" s="2126"/>
      <c r="Y24" s="2126"/>
      <c r="Z24" s="2138"/>
      <c r="AA24" s="2125"/>
      <c r="AB24" s="2126"/>
      <c r="AC24" s="2126"/>
      <c r="AD24" s="2126"/>
      <c r="AE24" s="2127"/>
      <c r="AF24" s="1537"/>
      <c r="AG24" s="1536"/>
      <c r="AH24" s="2128"/>
      <c r="AI24" s="2129"/>
    </row>
    <row r="25" spans="1:35" s="1595" customFormat="1">
      <c r="A25" s="1541"/>
      <c r="B25" s="2130"/>
      <c r="C25" s="2131"/>
      <c r="D25" s="2131"/>
      <c r="E25" s="2131"/>
      <c r="F25" s="2132"/>
      <c r="G25" s="2133"/>
      <c r="H25" s="2131"/>
      <c r="I25" s="2131"/>
      <c r="J25" s="2131"/>
      <c r="K25" s="2132"/>
      <c r="L25" s="2133"/>
      <c r="M25" s="2131"/>
      <c r="N25" s="2131"/>
      <c r="O25" s="2131"/>
      <c r="P25" s="2132"/>
      <c r="Q25" s="2133"/>
      <c r="R25" s="2131"/>
      <c r="S25" s="2131"/>
      <c r="T25" s="2131"/>
      <c r="U25" s="2132"/>
      <c r="V25" s="2133"/>
      <c r="W25" s="2131"/>
      <c r="X25" s="2131"/>
      <c r="Y25" s="2131"/>
      <c r="Z25" s="2132"/>
      <c r="AA25" s="2133"/>
      <c r="AB25" s="2131"/>
      <c r="AC25" s="2131"/>
      <c r="AD25" s="2131"/>
      <c r="AE25" s="2134"/>
      <c r="AF25" s="1540"/>
      <c r="AG25" s="1539"/>
      <c r="AH25" s="2135"/>
      <c r="AI25" s="2136"/>
    </row>
    <row r="26" spans="1:35" s="1595" customFormat="1">
      <c r="A26" s="1538"/>
      <c r="B26" s="2137"/>
      <c r="C26" s="2126"/>
      <c r="D26" s="2126"/>
      <c r="E26" s="2126"/>
      <c r="F26" s="2138"/>
      <c r="G26" s="2125"/>
      <c r="H26" s="2126"/>
      <c r="I26" s="2126"/>
      <c r="J26" s="2126"/>
      <c r="K26" s="2138"/>
      <c r="L26" s="2125"/>
      <c r="M26" s="2126"/>
      <c r="N26" s="2126"/>
      <c r="O26" s="2126"/>
      <c r="P26" s="2138"/>
      <c r="Q26" s="2125"/>
      <c r="R26" s="2126"/>
      <c r="S26" s="2126"/>
      <c r="T26" s="2126"/>
      <c r="U26" s="2138"/>
      <c r="V26" s="2125"/>
      <c r="W26" s="2126"/>
      <c r="X26" s="2126"/>
      <c r="Y26" s="2126"/>
      <c r="Z26" s="2138"/>
      <c r="AA26" s="2125"/>
      <c r="AB26" s="2126"/>
      <c r="AC26" s="2126"/>
      <c r="AD26" s="2126"/>
      <c r="AE26" s="2127"/>
      <c r="AF26" s="1537"/>
      <c r="AG26" s="1576"/>
      <c r="AH26" s="2308"/>
      <c r="AI26" s="2309"/>
    </row>
    <row r="27" spans="1:35" s="1595" customFormat="1">
      <c r="A27" s="1541"/>
      <c r="B27" s="2130"/>
      <c r="C27" s="2131"/>
      <c r="D27" s="2131"/>
      <c r="E27" s="2131"/>
      <c r="F27" s="2132"/>
      <c r="G27" s="2133"/>
      <c r="H27" s="2131"/>
      <c r="I27" s="2131"/>
      <c r="J27" s="2131"/>
      <c r="K27" s="2132"/>
      <c r="L27" s="2133"/>
      <c r="M27" s="2131"/>
      <c r="N27" s="2131"/>
      <c r="O27" s="2131"/>
      <c r="P27" s="2132"/>
      <c r="Q27" s="2133"/>
      <c r="R27" s="2131"/>
      <c r="S27" s="2131"/>
      <c r="T27" s="2131"/>
      <c r="U27" s="2132"/>
      <c r="V27" s="2133"/>
      <c r="W27" s="2131"/>
      <c r="X27" s="2131"/>
      <c r="Y27" s="2131"/>
      <c r="Z27" s="2132"/>
      <c r="AA27" s="2133"/>
      <c r="AB27" s="2131"/>
      <c r="AC27" s="2131"/>
      <c r="AD27" s="2131"/>
      <c r="AE27" s="2134"/>
      <c r="AF27" s="1540"/>
      <c r="AG27" s="1539"/>
      <c r="AH27" s="2306"/>
      <c r="AI27" s="2307"/>
    </row>
    <row r="28" spans="1:35" s="1595" customFormat="1">
      <c r="A28" s="1538"/>
      <c r="B28" s="2137"/>
      <c r="C28" s="2126"/>
      <c r="D28" s="2126"/>
      <c r="E28" s="2126"/>
      <c r="F28" s="2138"/>
      <c r="G28" s="2125"/>
      <c r="H28" s="2126"/>
      <c r="I28" s="2126"/>
      <c r="J28" s="2126"/>
      <c r="K28" s="2138"/>
      <c r="L28" s="2125"/>
      <c r="M28" s="2126"/>
      <c r="N28" s="2126"/>
      <c r="O28" s="2126"/>
      <c r="P28" s="2138"/>
      <c r="Q28" s="2125"/>
      <c r="R28" s="2126"/>
      <c r="S28" s="2126"/>
      <c r="T28" s="2126"/>
      <c r="U28" s="2138"/>
      <c r="V28" s="2125"/>
      <c r="W28" s="2126"/>
      <c r="X28" s="2126"/>
      <c r="Y28" s="2126"/>
      <c r="Z28" s="2138"/>
      <c r="AA28" s="2125"/>
      <c r="AB28" s="2126"/>
      <c r="AC28" s="2126"/>
      <c r="AD28" s="2126"/>
      <c r="AE28" s="2127"/>
      <c r="AF28" s="1537"/>
      <c r="AG28" s="1536"/>
      <c r="AH28" s="2128"/>
      <c r="AI28" s="2129"/>
    </row>
    <row r="29" spans="1:35" s="1595" customFormat="1">
      <c r="A29" s="1541"/>
      <c r="B29" s="2130"/>
      <c r="C29" s="2131"/>
      <c r="D29" s="2131"/>
      <c r="E29" s="2131"/>
      <c r="F29" s="2132"/>
      <c r="G29" s="2133"/>
      <c r="H29" s="2131"/>
      <c r="I29" s="2131"/>
      <c r="J29" s="2131"/>
      <c r="K29" s="2132"/>
      <c r="L29" s="2133"/>
      <c r="M29" s="2131"/>
      <c r="N29" s="2131"/>
      <c r="O29" s="2131"/>
      <c r="P29" s="2132"/>
      <c r="Q29" s="2133"/>
      <c r="R29" s="2131"/>
      <c r="S29" s="2131"/>
      <c r="T29" s="2131"/>
      <c r="U29" s="2132"/>
      <c r="V29" s="2133"/>
      <c r="W29" s="2131"/>
      <c r="X29" s="2131"/>
      <c r="Y29" s="2131"/>
      <c r="Z29" s="2132"/>
      <c r="AA29" s="2133"/>
      <c r="AB29" s="2131"/>
      <c r="AC29" s="2131"/>
      <c r="AD29" s="2131"/>
      <c r="AE29" s="2134"/>
      <c r="AF29" s="1540"/>
      <c r="AG29" s="1575"/>
      <c r="AH29" s="2306"/>
      <c r="AI29" s="2307"/>
    </row>
    <row r="30" spans="1:35">
      <c r="A30" s="1533"/>
      <c r="B30" s="2119"/>
      <c r="C30" s="2115"/>
      <c r="D30" s="2115"/>
      <c r="E30" s="2115"/>
      <c r="F30" s="2120"/>
      <c r="G30" s="2114"/>
      <c r="H30" s="2115"/>
      <c r="I30" s="2115"/>
      <c r="J30" s="2115"/>
      <c r="K30" s="2120"/>
      <c r="L30" s="2114"/>
      <c r="M30" s="2115"/>
      <c r="N30" s="2115"/>
      <c r="O30" s="2115"/>
      <c r="P30" s="2120"/>
      <c r="Q30" s="2114"/>
      <c r="R30" s="2115"/>
      <c r="S30" s="2115"/>
      <c r="T30" s="2115"/>
      <c r="U30" s="2120"/>
      <c r="V30" s="2114"/>
      <c r="W30" s="2115"/>
      <c r="X30" s="2115"/>
      <c r="Y30" s="2115"/>
      <c r="Z30" s="2120"/>
      <c r="AA30" s="2114"/>
      <c r="AB30" s="2115"/>
      <c r="AC30" s="2115"/>
      <c r="AD30" s="2115"/>
      <c r="AE30" s="2116"/>
      <c r="AF30" s="1532">
        <f>SUM(B30:AE30)</f>
        <v>0</v>
      </c>
      <c r="AG30" s="1482"/>
      <c r="AH30" s="2117"/>
      <c r="AI30" s="2118"/>
    </row>
    <row r="31" spans="1:35">
      <c r="A31" s="1490"/>
      <c r="B31" s="2113"/>
      <c r="C31" s="2101"/>
      <c r="D31" s="2101"/>
      <c r="E31" s="2101"/>
      <c r="F31" s="2102"/>
      <c r="G31" s="2100"/>
      <c r="H31" s="2101"/>
      <c r="I31" s="2101"/>
      <c r="J31" s="2101"/>
      <c r="K31" s="2102"/>
      <c r="L31" s="2100"/>
      <c r="M31" s="2101"/>
      <c r="N31" s="2101"/>
      <c r="O31" s="2101"/>
      <c r="P31" s="2102"/>
      <c r="Q31" s="2100"/>
      <c r="R31" s="2101"/>
      <c r="S31" s="2101"/>
      <c r="T31" s="2101"/>
      <c r="U31" s="2102"/>
      <c r="V31" s="2100"/>
      <c r="W31" s="2101"/>
      <c r="X31" s="2101"/>
      <c r="Y31" s="2101"/>
      <c r="Z31" s="2102"/>
      <c r="AA31" s="2100"/>
      <c r="AB31" s="2101"/>
      <c r="AC31" s="2101"/>
      <c r="AD31" s="2101"/>
      <c r="AE31" s="2103"/>
      <c r="AF31" s="1531">
        <f>SUM(B31:AE31)</f>
        <v>0</v>
      </c>
      <c r="AG31" s="1485"/>
      <c r="AH31" s="2111"/>
      <c r="AI31" s="2112"/>
    </row>
    <row r="32" spans="1:35">
      <c r="A32" s="1533"/>
      <c r="B32" s="2119"/>
      <c r="C32" s="2115"/>
      <c r="D32" s="2115"/>
      <c r="E32" s="2115"/>
      <c r="F32" s="2120"/>
      <c r="G32" s="2114"/>
      <c r="H32" s="2115"/>
      <c r="I32" s="2115"/>
      <c r="J32" s="2115"/>
      <c r="K32" s="2120"/>
      <c r="L32" s="2114"/>
      <c r="M32" s="2115"/>
      <c r="N32" s="2115"/>
      <c r="O32" s="2115"/>
      <c r="P32" s="2120"/>
      <c r="Q32" s="2114"/>
      <c r="R32" s="2115"/>
      <c r="S32" s="2115"/>
      <c r="T32" s="2115"/>
      <c r="U32" s="2120"/>
      <c r="V32" s="2114"/>
      <c r="W32" s="2115"/>
      <c r="X32" s="2115"/>
      <c r="Y32" s="2115"/>
      <c r="Z32" s="2120"/>
      <c r="AA32" s="2114"/>
      <c r="AB32" s="2115"/>
      <c r="AC32" s="2115"/>
      <c r="AD32" s="2115"/>
      <c r="AE32" s="2116"/>
      <c r="AF32" s="1532">
        <f>SUM(B32:AE32)</f>
        <v>0</v>
      </c>
      <c r="AG32" s="1482"/>
      <c r="AH32" s="2117"/>
      <c r="AI32" s="2118"/>
    </row>
    <row r="33" spans="1:35">
      <c r="A33" s="1490"/>
      <c r="B33" s="2113"/>
      <c r="C33" s="2101"/>
      <c r="D33" s="2101"/>
      <c r="E33" s="2101"/>
      <c r="F33" s="2102"/>
      <c r="G33" s="2100"/>
      <c r="H33" s="2101"/>
      <c r="I33" s="2101"/>
      <c r="J33" s="2101"/>
      <c r="K33" s="2102"/>
      <c r="L33" s="2100"/>
      <c r="M33" s="2101"/>
      <c r="N33" s="2101"/>
      <c r="O33" s="2101"/>
      <c r="P33" s="2102"/>
      <c r="Q33" s="2100"/>
      <c r="R33" s="2101"/>
      <c r="S33" s="2101"/>
      <c r="T33" s="2101"/>
      <c r="U33" s="2102"/>
      <c r="V33" s="2100"/>
      <c r="W33" s="2101"/>
      <c r="X33" s="2101"/>
      <c r="Y33" s="2101"/>
      <c r="Z33" s="2102"/>
      <c r="AA33" s="2100"/>
      <c r="AB33" s="2101"/>
      <c r="AC33" s="2101"/>
      <c r="AD33" s="2101"/>
      <c r="AE33" s="2103"/>
      <c r="AF33" s="1531">
        <f>SUM(B33:AE33)</f>
        <v>0</v>
      </c>
      <c r="AG33" s="1485"/>
      <c r="AH33" s="2111"/>
      <c r="AI33" s="2112"/>
    </row>
    <row r="34" spans="1:35" ht="14" thickBot="1">
      <c r="A34" s="1530"/>
      <c r="B34" s="2300"/>
      <c r="C34" s="2286"/>
      <c r="D34" s="2286"/>
      <c r="E34" s="2286"/>
      <c r="F34" s="2287"/>
      <c r="G34" s="2285"/>
      <c r="H34" s="2286"/>
      <c r="I34" s="2286"/>
      <c r="J34" s="2286"/>
      <c r="K34" s="2287"/>
      <c r="L34" s="2285"/>
      <c r="M34" s="2286"/>
      <c r="N34" s="2286"/>
      <c r="O34" s="2286"/>
      <c r="P34" s="2287"/>
      <c r="Q34" s="2285"/>
      <c r="R34" s="2286"/>
      <c r="S34" s="2286"/>
      <c r="T34" s="2286"/>
      <c r="U34" s="2287"/>
      <c r="V34" s="2285"/>
      <c r="W34" s="2286"/>
      <c r="X34" s="2286"/>
      <c r="Y34" s="2286"/>
      <c r="Z34" s="2287"/>
      <c r="AA34" s="2285"/>
      <c r="AB34" s="2286"/>
      <c r="AC34" s="2286"/>
      <c r="AD34" s="2286"/>
      <c r="AE34" s="2288"/>
      <c r="AF34" s="1529">
        <f>SUM(B34:AE34)</f>
        <v>0</v>
      </c>
      <c r="AG34" s="1528"/>
      <c r="AH34" s="2297"/>
      <c r="AI34" s="2298"/>
    </row>
    <row r="35" spans="1:35" ht="13.5" customHeight="1">
      <c r="A35" s="2094" t="s">
        <v>2988</v>
      </c>
      <c r="B35" s="2095"/>
      <c r="C35" s="2095"/>
      <c r="D35" s="2095"/>
      <c r="E35" s="2095"/>
      <c r="F35" s="2095"/>
      <c r="G35" s="2095"/>
      <c r="H35" s="2095"/>
      <c r="I35" s="2095"/>
      <c r="J35" s="2095"/>
      <c r="K35" s="2095"/>
      <c r="L35" s="2095"/>
      <c r="M35" s="2095"/>
      <c r="N35" s="2095"/>
      <c r="O35" s="2095"/>
      <c r="P35" s="2095"/>
      <c r="Q35" s="2095"/>
      <c r="R35" s="2095"/>
      <c r="S35" s="2095"/>
      <c r="T35" s="2095"/>
      <c r="U35" s="2095"/>
      <c r="V35" s="2095"/>
      <c r="W35" s="2095"/>
      <c r="X35" s="2095"/>
      <c r="Y35" s="2095"/>
      <c r="Z35" s="2095"/>
      <c r="AA35" s="2095"/>
      <c r="AB35" s="2095"/>
      <c r="AC35" s="2095"/>
      <c r="AD35" s="2095"/>
      <c r="AE35" s="2095"/>
      <c r="AF35" s="2095"/>
      <c r="AG35" s="2095"/>
      <c r="AH35" s="2095"/>
      <c r="AI35" s="2096"/>
    </row>
    <row r="36" spans="1:35" ht="18.75" customHeight="1">
      <c r="A36" s="2419" t="s">
        <v>2987</v>
      </c>
      <c r="B36" s="2420"/>
      <c r="C36" s="2420"/>
      <c r="D36" s="2420" t="s">
        <v>2986</v>
      </c>
      <c r="E36" s="2420"/>
      <c r="F36" s="2420"/>
      <c r="G36" s="2420"/>
      <c r="H36" s="2420"/>
      <c r="I36" s="2420"/>
      <c r="J36" s="2420"/>
      <c r="K36" s="2421" t="s">
        <v>2985</v>
      </c>
      <c r="L36" s="2420"/>
      <c r="M36" s="2420"/>
      <c r="N36" s="2420"/>
      <c r="O36" s="2420"/>
      <c r="P36" s="2420"/>
      <c r="Q36" s="2420"/>
      <c r="R36" s="2420"/>
      <c r="S36" s="2420"/>
      <c r="T36" s="2420"/>
      <c r="U36" s="2420"/>
      <c r="V36" s="2420"/>
      <c r="W36" s="2420"/>
      <c r="X36" s="2420" t="s">
        <v>2893</v>
      </c>
      <c r="Y36" s="2420"/>
      <c r="Z36" s="2420"/>
      <c r="AA36" s="2420"/>
      <c r="AB36" s="2420"/>
      <c r="AC36" s="2420"/>
      <c r="AD36" s="2420"/>
      <c r="AE36" s="2420"/>
      <c r="AF36" s="2420"/>
      <c r="AG36" s="2420" t="s">
        <v>2984</v>
      </c>
      <c r="AH36" s="2420"/>
      <c r="AI36" s="2422"/>
    </row>
    <row r="37" spans="1:35" ht="21.75" customHeight="1" thickBot="1">
      <c r="A37" s="2423" t="s">
        <v>2983</v>
      </c>
      <c r="B37" s="2424"/>
      <c r="C37" s="2425" t="s">
        <v>2982</v>
      </c>
      <c r="D37" s="2425"/>
      <c r="E37" s="2425"/>
      <c r="F37" s="2425"/>
      <c r="G37" s="2425"/>
      <c r="H37" s="2425"/>
      <c r="I37" s="2425"/>
      <c r="J37" s="2425"/>
      <c r="K37" s="2425"/>
      <c r="L37" s="2425"/>
      <c r="M37" s="2425"/>
      <c r="N37" s="2425"/>
      <c r="O37" s="2425"/>
      <c r="P37" s="2425"/>
      <c r="Q37" s="2425"/>
      <c r="R37" s="2425"/>
      <c r="S37" s="2425"/>
      <c r="T37" s="2426"/>
      <c r="U37" s="2427"/>
      <c r="V37" s="2427"/>
      <c r="W37" s="2428"/>
      <c r="X37" s="2428"/>
      <c r="Y37" s="2429"/>
      <c r="Z37" s="2430" t="s">
        <v>2887</v>
      </c>
      <c r="AA37" s="2430"/>
      <c r="AB37" s="2430"/>
      <c r="AC37" s="2430"/>
      <c r="AD37" s="2430"/>
      <c r="AE37" s="2430"/>
      <c r="AF37" s="2430"/>
      <c r="AG37" s="2430"/>
      <c r="AH37" s="2430"/>
      <c r="AI37" s="2431"/>
    </row>
    <row r="38" spans="1:35" ht="14" thickBot="1">
      <c r="A38" s="2303" t="s">
        <v>2944</v>
      </c>
      <c r="B38" s="2304"/>
      <c r="C38" s="2304"/>
      <c r="D38" s="2304"/>
      <c r="E38" s="2304"/>
      <c r="F38" s="2304"/>
      <c r="G38" s="2304"/>
      <c r="H38" s="2304"/>
      <c r="I38" s="2304"/>
      <c r="J38" s="2304"/>
      <c r="K38" s="2304"/>
      <c r="L38" s="2304"/>
      <c r="M38" s="2304"/>
      <c r="N38" s="2304"/>
      <c r="O38" s="2304"/>
      <c r="P38" s="2304"/>
      <c r="Q38" s="2304"/>
      <c r="R38" s="2304"/>
      <c r="S38" s="2304"/>
      <c r="T38" s="2304"/>
      <c r="U38" s="2304"/>
      <c r="V38" s="2304"/>
      <c r="W38" s="2304"/>
      <c r="X38" s="2304"/>
      <c r="Y38" s="2304"/>
      <c r="Z38" s="2304"/>
      <c r="AA38" s="2304"/>
      <c r="AB38" s="2304"/>
      <c r="AC38" s="2304"/>
      <c r="AD38" s="2304"/>
      <c r="AE38" s="2304"/>
      <c r="AF38" s="2304"/>
      <c r="AG38" s="2304"/>
      <c r="AH38" s="2304"/>
      <c r="AI38" s="2305"/>
    </row>
    <row r="39" spans="1:35" ht="15" thickTop="1" thickBot="1">
      <c r="A39" s="1574"/>
      <c r="B39" s="2289" t="s">
        <v>2981</v>
      </c>
      <c r="C39" s="2290"/>
      <c r="D39" s="2290"/>
      <c r="E39" s="2290"/>
      <c r="F39" s="2290"/>
      <c r="G39" s="2290"/>
      <c r="H39" s="2290"/>
      <c r="I39" s="2290"/>
      <c r="J39" s="2290"/>
      <c r="K39" s="2290"/>
      <c r="L39" s="2290"/>
      <c r="M39" s="2290"/>
      <c r="N39" s="2291" t="s">
        <v>2980</v>
      </c>
      <c r="O39" s="2292"/>
      <c r="P39" s="2292"/>
      <c r="Q39" s="2292"/>
      <c r="R39" s="2292"/>
      <c r="S39" s="2292"/>
      <c r="T39" s="2292"/>
      <c r="U39" s="2292"/>
      <c r="V39" s="2292"/>
      <c r="W39" s="2292"/>
      <c r="X39" s="2292"/>
      <c r="Y39" s="2293"/>
      <c r="Z39" s="2294"/>
      <c r="AA39" s="2295"/>
      <c r="AB39" s="2295"/>
      <c r="AC39" s="2295"/>
      <c r="AD39" s="2295"/>
      <c r="AE39" s="2295"/>
      <c r="AF39" s="2295"/>
      <c r="AG39" s="2295"/>
      <c r="AH39" s="2295"/>
      <c r="AI39" s="2296"/>
    </row>
    <row r="40" spans="1:35" ht="58" thickTop="1" thickBot="1">
      <c r="A40" s="1573" t="s">
        <v>2941</v>
      </c>
      <c r="B40" s="2276" t="s">
        <v>2940</v>
      </c>
      <c r="C40" s="2277"/>
      <c r="D40" s="2277"/>
      <c r="E40" s="2278"/>
      <c r="F40" s="2276" t="s">
        <v>2939</v>
      </c>
      <c r="G40" s="2277"/>
      <c r="H40" s="2277"/>
      <c r="I40" s="2278"/>
      <c r="J40" s="2276" t="s">
        <v>2938</v>
      </c>
      <c r="K40" s="2277"/>
      <c r="L40" s="2277"/>
      <c r="M40" s="2277"/>
      <c r="N40" s="2279" t="s">
        <v>2940</v>
      </c>
      <c r="O40" s="2280"/>
      <c r="P40" s="2280"/>
      <c r="Q40" s="2281"/>
      <c r="R40" s="2282" t="s">
        <v>2939</v>
      </c>
      <c r="S40" s="2280"/>
      <c r="T40" s="2280"/>
      <c r="U40" s="2281"/>
      <c r="V40" s="2282" t="s">
        <v>2938</v>
      </c>
      <c r="W40" s="2280"/>
      <c r="X40" s="2280"/>
      <c r="Y40" s="2283"/>
      <c r="Z40" s="2146" t="s">
        <v>2199</v>
      </c>
      <c r="AA40" s="2147"/>
      <c r="AB40" s="2147"/>
      <c r="AC40" s="2147"/>
      <c r="AD40" s="2147"/>
      <c r="AE40" s="2147"/>
      <c r="AF40" s="2147"/>
      <c r="AG40" s="2147"/>
      <c r="AH40" s="2147"/>
      <c r="AI40" s="2162"/>
    </row>
    <row r="41" spans="1:35" ht="13.5" customHeight="1" thickTop="1" thickBot="1">
      <c r="A41" s="1705"/>
      <c r="B41" s="2406"/>
      <c r="C41" s="2407"/>
      <c r="D41" s="2407"/>
      <c r="E41" s="2408"/>
      <c r="F41" s="2406"/>
      <c r="G41" s="2407"/>
      <c r="H41" s="2407"/>
      <c r="I41" s="2408"/>
      <c r="J41" s="2372" t="str">
        <f>IF(B41=0,"",F41-B41)</f>
        <v/>
      </c>
      <c r="K41" s="2373"/>
      <c r="L41" s="2373"/>
      <c r="M41" s="2374"/>
      <c r="N41" s="2409"/>
      <c r="O41" s="2410"/>
      <c r="P41" s="2410"/>
      <c r="Q41" s="2411"/>
      <c r="R41" s="2412"/>
      <c r="S41" s="2410"/>
      <c r="T41" s="2410"/>
      <c r="U41" s="2411"/>
      <c r="V41" s="2372" t="str">
        <f>IF(N41=0,"",R41-N41)</f>
        <v/>
      </c>
      <c r="W41" s="2373"/>
      <c r="X41" s="2373"/>
      <c r="Y41" s="2379"/>
      <c r="Z41" s="2413"/>
      <c r="AA41" s="2414"/>
      <c r="AB41" s="2414"/>
      <c r="AC41" s="2414"/>
      <c r="AD41" s="2414"/>
      <c r="AE41" s="2414"/>
      <c r="AF41" s="2414"/>
      <c r="AG41" s="2414"/>
      <c r="AH41" s="2414"/>
      <c r="AI41" s="2415"/>
    </row>
    <row r="42" spans="1:35" ht="15" thickTop="1" thickBot="1">
      <c r="A42" s="1706"/>
      <c r="B42" s="2395"/>
      <c r="C42" s="2396"/>
      <c r="D42" s="2396"/>
      <c r="E42" s="2397"/>
      <c r="F42" s="2395"/>
      <c r="G42" s="2396"/>
      <c r="H42" s="2396"/>
      <c r="I42" s="2397"/>
      <c r="J42" s="2372" t="str">
        <f t="shared" ref="J42:J67" si="0">IF(B42=0,"",F42-B42)</f>
        <v/>
      </c>
      <c r="K42" s="2373"/>
      <c r="L42" s="2373"/>
      <c r="M42" s="2374"/>
      <c r="N42" s="2398"/>
      <c r="O42" s="2396"/>
      <c r="P42" s="2396"/>
      <c r="Q42" s="2397"/>
      <c r="R42" s="2395"/>
      <c r="S42" s="2396"/>
      <c r="T42" s="2396"/>
      <c r="U42" s="2397"/>
      <c r="V42" s="2372" t="str">
        <f t="shared" ref="V42:V67" si="1">IF(N42=0,"",R42-N42)</f>
        <v/>
      </c>
      <c r="W42" s="2373"/>
      <c r="X42" s="2373"/>
      <c r="Y42" s="2379"/>
      <c r="Z42" s="2416"/>
      <c r="AA42" s="2417"/>
      <c r="AB42" s="2417"/>
      <c r="AC42" s="2417"/>
      <c r="AD42" s="2417"/>
      <c r="AE42" s="2417"/>
      <c r="AF42" s="2417"/>
      <c r="AG42" s="2417"/>
      <c r="AH42" s="2417"/>
      <c r="AI42" s="2418"/>
    </row>
    <row r="43" spans="1:35" ht="15" thickTop="1" thickBot="1">
      <c r="A43" s="1707"/>
      <c r="B43" s="2399"/>
      <c r="C43" s="2400"/>
      <c r="D43" s="2400"/>
      <c r="E43" s="2401"/>
      <c r="F43" s="2399"/>
      <c r="G43" s="2400"/>
      <c r="H43" s="2400"/>
      <c r="I43" s="2401"/>
      <c r="J43" s="2372" t="str">
        <f t="shared" si="0"/>
        <v/>
      </c>
      <c r="K43" s="2373"/>
      <c r="L43" s="2373"/>
      <c r="M43" s="2374"/>
      <c r="N43" s="2402"/>
      <c r="O43" s="2403"/>
      <c r="P43" s="2403"/>
      <c r="Q43" s="2404"/>
      <c r="R43" s="2405"/>
      <c r="S43" s="2403"/>
      <c r="T43" s="2403"/>
      <c r="U43" s="2404"/>
      <c r="V43" s="2372" t="str">
        <f t="shared" si="1"/>
        <v/>
      </c>
      <c r="W43" s="2373"/>
      <c r="X43" s="2373"/>
      <c r="Y43" s="2379"/>
      <c r="Z43" s="2416"/>
      <c r="AA43" s="2417"/>
      <c r="AB43" s="2417"/>
      <c r="AC43" s="2417"/>
      <c r="AD43" s="2417"/>
      <c r="AE43" s="2417"/>
      <c r="AF43" s="2417"/>
      <c r="AG43" s="2417"/>
      <c r="AH43" s="2417"/>
      <c r="AI43" s="2418"/>
    </row>
    <row r="44" spans="1:35" ht="15" thickTop="1" thickBot="1">
      <c r="A44" s="1706"/>
      <c r="B44" s="2395"/>
      <c r="C44" s="2396"/>
      <c r="D44" s="2396"/>
      <c r="E44" s="2397"/>
      <c r="F44" s="2395"/>
      <c r="G44" s="2396"/>
      <c r="H44" s="2396"/>
      <c r="I44" s="2397"/>
      <c r="J44" s="2372" t="str">
        <f t="shared" si="0"/>
        <v/>
      </c>
      <c r="K44" s="2373"/>
      <c r="L44" s="2373"/>
      <c r="M44" s="2374"/>
      <c r="N44" s="2398"/>
      <c r="O44" s="2396"/>
      <c r="P44" s="2396"/>
      <c r="Q44" s="2397"/>
      <c r="R44" s="2395"/>
      <c r="S44" s="2396"/>
      <c r="T44" s="2396"/>
      <c r="U44" s="2397"/>
      <c r="V44" s="2372" t="str">
        <f t="shared" si="1"/>
        <v/>
      </c>
      <c r="W44" s="2373"/>
      <c r="X44" s="2373"/>
      <c r="Y44" s="2379"/>
      <c r="Z44" s="2416"/>
      <c r="AA44" s="2417"/>
      <c r="AB44" s="2417"/>
      <c r="AC44" s="2417"/>
      <c r="AD44" s="2417"/>
      <c r="AE44" s="2417"/>
      <c r="AF44" s="2417"/>
      <c r="AG44" s="2417"/>
      <c r="AH44" s="2417"/>
      <c r="AI44" s="2418"/>
    </row>
    <row r="45" spans="1:35" ht="15" thickTop="1" thickBot="1">
      <c r="A45" s="1707"/>
      <c r="B45" s="2399"/>
      <c r="C45" s="2400"/>
      <c r="D45" s="2400"/>
      <c r="E45" s="2401"/>
      <c r="F45" s="2399"/>
      <c r="G45" s="2400"/>
      <c r="H45" s="2400"/>
      <c r="I45" s="2401"/>
      <c r="J45" s="2372" t="str">
        <f t="shared" si="0"/>
        <v/>
      </c>
      <c r="K45" s="2373"/>
      <c r="L45" s="2373"/>
      <c r="M45" s="2374"/>
      <c r="N45" s="2402"/>
      <c r="O45" s="2403"/>
      <c r="P45" s="2403"/>
      <c r="Q45" s="2404"/>
      <c r="R45" s="2405"/>
      <c r="S45" s="2403"/>
      <c r="T45" s="2403"/>
      <c r="U45" s="2404"/>
      <c r="V45" s="2372" t="str">
        <f t="shared" si="1"/>
        <v/>
      </c>
      <c r="W45" s="2373"/>
      <c r="X45" s="2373"/>
      <c r="Y45" s="2379"/>
      <c r="Z45" s="2416"/>
      <c r="AA45" s="2417"/>
      <c r="AB45" s="2417"/>
      <c r="AC45" s="2417"/>
      <c r="AD45" s="2417"/>
      <c r="AE45" s="2417"/>
      <c r="AF45" s="2417"/>
      <c r="AG45" s="2417"/>
      <c r="AH45" s="2417"/>
      <c r="AI45" s="2418"/>
    </row>
    <row r="46" spans="1:35" ht="15" thickTop="1" thickBot="1">
      <c r="A46" s="1706"/>
      <c r="B46" s="2395"/>
      <c r="C46" s="2396"/>
      <c r="D46" s="2396"/>
      <c r="E46" s="2397"/>
      <c r="F46" s="2395"/>
      <c r="G46" s="2396"/>
      <c r="H46" s="2396"/>
      <c r="I46" s="2397"/>
      <c r="J46" s="2372" t="str">
        <f t="shared" si="0"/>
        <v/>
      </c>
      <c r="K46" s="2373"/>
      <c r="L46" s="2373"/>
      <c r="M46" s="2374"/>
      <c r="N46" s="2398"/>
      <c r="O46" s="2396"/>
      <c r="P46" s="2396"/>
      <c r="Q46" s="2397"/>
      <c r="R46" s="2395"/>
      <c r="S46" s="2396"/>
      <c r="T46" s="2396"/>
      <c r="U46" s="2397"/>
      <c r="V46" s="2372" t="str">
        <f t="shared" si="1"/>
        <v/>
      </c>
      <c r="W46" s="2373"/>
      <c r="X46" s="2373"/>
      <c r="Y46" s="2379"/>
      <c r="Z46" s="2416"/>
      <c r="AA46" s="2417"/>
      <c r="AB46" s="2417"/>
      <c r="AC46" s="2417"/>
      <c r="AD46" s="2417"/>
      <c r="AE46" s="2417"/>
      <c r="AF46" s="2417"/>
      <c r="AG46" s="2417"/>
      <c r="AH46" s="2417"/>
      <c r="AI46" s="2418"/>
    </row>
    <row r="47" spans="1:35" ht="15" thickTop="1" thickBot="1">
      <c r="A47" s="1707"/>
      <c r="B47" s="2399"/>
      <c r="C47" s="2400"/>
      <c r="D47" s="2400"/>
      <c r="E47" s="2401"/>
      <c r="F47" s="2399"/>
      <c r="G47" s="2400"/>
      <c r="H47" s="2400"/>
      <c r="I47" s="2401"/>
      <c r="J47" s="2372" t="str">
        <f t="shared" si="0"/>
        <v/>
      </c>
      <c r="K47" s="2373"/>
      <c r="L47" s="2373"/>
      <c r="M47" s="2374"/>
      <c r="N47" s="2402"/>
      <c r="O47" s="2403"/>
      <c r="P47" s="2403"/>
      <c r="Q47" s="2404"/>
      <c r="R47" s="2405"/>
      <c r="S47" s="2403"/>
      <c r="T47" s="2403"/>
      <c r="U47" s="2404"/>
      <c r="V47" s="2372" t="str">
        <f t="shared" si="1"/>
        <v/>
      </c>
      <c r="W47" s="2373"/>
      <c r="X47" s="2373"/>
      <c r="Y47" s="2379"/>
      <c r="Z47" s="2416"/>
      <c r="AA47" s="2417"/>
      <c r="AB47" s="2417"/>
      <c r="AC47" s="2417"/>
      <c r="AD47" s="2417"/>
      <c r="AE47" s="2417"/>
      <c r="AF47" s="2417"/>
      <c r="AG47" s="2417"/>
      <c r="AH47" s="2417"/>
      <c r="AI47" s="2418"/>
    </row>
    <row r="48" spans="1:35" ht="15" thickTop="1" thickBot="1">
      <c r="A48" s="1706"/>
      <c r="B48" s="2395"/>
      <c r="C48" s="2396"/>
      <c r="D48" s="2396"/>
      <c r="E48" s="2397"/>
      <c r="F48" s="2395"/>
      <c r="G48" s="2396"/>
      <c r="H48" s="2396"/>
      <c r="I48" s="2397"/>
      <c r="J48" s="2372" t="str">
        <f t="shared" si="0"/>
        <v/>
      </c>
      <c r="K48" s="2373"/>
      <c r="L48" s="2373"/>
      <c r="M48" s="2374"/>
      <c r="N48" s="2398"/>
      <c r="O48" s="2396"/>
      <c r="P48" s="2396"/>
      <c r="Q48" s="2397"/>
      <c r="R48" s="2395"/>
      <c r="S48" s="2396"/>
      <c r="T48" s="2396"/>
      <c r="U48" s="2397"/>
      <c r="V48" s="2372" t="str">
        <f t="shared" si="1"/>
        <v/>
      </c>
      <c r="W48" s="2373"/>
      <c r="X48" s="2373"/>
      <c r="Y48" s="2379"/>
      <c r="Z48" s="2416"/>
      <c r="AA48" s="2417"/>
      <c r="AB48" s="2417"/>
      <c r="AC48" s="2417"/>
      <c r="AD48" s="2417"/>
      <c r="AE48" s="2417"/>
      <c r="AF48" s="2417"/>
      <c r="AG48" s="2417"/>
      <c r="AH48" s="2417"/>
      <c r="AI48" s="2418"/>
    </row>
    <row r="49" spans="1:35" ht="15" thickTop="1" thickBot="1">
      <c r="A49" s="1707"/>
      <c r="B49" s="2399"/>
      <c r="C49" s="2400"/>
      <c r="D49" s="2400"/>
      <c r="E49" s="2401"/>
      <c r="F49" s="2399"/>
      <c r="G49" s="2400"/>
      <c r="H49" s="2400"/>
      <c r="I49" s="2401"/>
      <c r="J49" s="2372" t="str">
        <f t="shared" si="0"/>
        <v/>
      </c>
      <c r="K49" s="2373"/>
      <c r="L49" s="2373"/>
      <c r="M49" s="2374"/>
      <c r="N49" s="2402"/>
      <c r="O49" s="2403"/>
      <c r="P49" s="2403"/>
      <c r="Q49" s="2404"/>
      <c r="R49" s="2405"/>
      <c r="S49" s="2403"/>
      <c r="T49" s="2403"/>
      <c r="U49" s="2404"/>
      <c r="V49" s="2372" t="str">
        <f t="shared" si="1"/>
        <v/>
      </c>
      <c r="W49" s="2373"/>
      <c r="X49" s="2373"/>
      <c r="Y49" s="2379"/>
      <c r="Z49" s="2416"/>
      <c r="AA49" s="2417"/>
      <c r="AB49" s="2417"/>
      <c r="AC49" s="2417"/>
      <c r="AD49" s="2417"/>
      <c r="AE49" s="2417"/>
      <c r="AF49" s="2417"/>
      <c r="AG49" s="2417"/>
      <c r="AH49" s="2417"/>
      <c r="AI49" s="2418"/>
    </row>
    <row r="50" spans="1:35" ht="15" thickTop="1" thickBot="1">
      <c r="A50" s="1706"/>
      <c r="B50" s="2395"/>
      <c r="C50" s="2396"/>
      <c r="D50" s="2396"/>
      <c r="E50" s="2397"/>
      <c r="F50" s="2395"/>
      <c r="G50" s="2396"/>
      <c r="H50" s="2396"/>
      <c r="I50" s="2397"/>
      <c r="J50" s="2372" t="str">
        <f t="shared" si="0"/>
        <v/>
      </c>
      <c r="K50" s="2373"/>
      <c r="L50" s="2373"/>
      <c r="M50" s="2374"/>
      <c r="N50" s="2398"/>
      <c r="O50" s="2396"/>
      <c r="P50" s="2396"/>
      <c r="Q50" s="2397"/>
      <c r="R50" s="2395"/>
      <c r="S50" s="2396"/>
      <c r="T50" s="2396"/>
      <c r="U50" s="2397"/>
      <c r="V50" s="2372" t="str">
        <f t="shared" si="1"/>
        <v/>
      </c>
      <c r="W50" s="2373"/>
      <c r="X50" s="2373"/>
      <c r="Y50" s="2379"/>
      <c r="Z50" s="2416"/>
      <c r="AA50" s="2417"/>
      <c r="AB50" s="2417"/>
      <c r="AC50" s="2417"/>
      <c r="AD50" s="2417"/>
      <c r="AE50" s="2417"/>
      <c r="AF50" s="2417"/>
      <c r="AG50" s="2417"/>
      <c r="AH50" s="2417"/>
      <c r="AI50" s="2418"/>
    </row>
    <row r="51" spans="1:35" ht="15" thickTop="1" thickBot="1">
      <c r="A51" s="1707"/>
      <c r="B51" s="2399"/>
      <c r="C51" s="2400"/>
      <c r="D51" s="2400"/>
      <c r="E51" s="2401"/>
      <c r="F51" s="2399"/>
      <c r="G51" s="2400"/>
      <c r="H51" s="2400"/>
      <c r="I51" s="2401"/>
      <c r="J51" s="2372" t="str">
        <f t="shared" si="0"/>
        <v/>
      </c>
      <c r="K51" s="2373"/>
      <c r="L51" s="2373"/>
      <c r="M51" s="2374"/>
      <c r="N51" s="2402"/>
      <c r="O51" s="2403"/>
      <c r="P51" s="2403"/>
      <c r="Q51" s="2404"/>
      <c r="R51" s="2405"/>
      <c r="S51" s="2403"/>
      <c r="T51" s="2403"/>
      <c r="U51" s="2404"/>
      <c r="V51" s="2372" t="str">
        <f t="shared" si="1"/>
        <v/>
      </c>
      <c r="W51" s="2373"/>
      <c r="X51" s="2373"/>
      <c r="Y51" s="2379"/>
      <c r="Z51" s="2416"/>
      <c r="AA51" s="2417"/>
      <c r="AB51" s="2417"/>
      <c r="AC51" s="2417"/>
      <c r="AD51" s="2417"/>
      <c r="AE51" s="2417"/>
      <c r="AF51" s="2417"/>
      <c r="AG51" s="2417"/>
      <c r="AH51" s="2417"/>
      <c r="AI51" s="2418"/>
    </row>
    <row r="52" spans="1:35" ht="15" thickTop="1" thickBot="1">
      <c r="A52" s="1706"/>
      <c r="B52" s="2395"/>
      <c r="C52" s="2396"/>
      <c r="D52" s="2396"/>
      <c r="E52" s="2397"/>
      <c r="F52" s="2395"/>
      <c r="G52" s="2396"/>
      <c r="H52" s="2396"/>
      <c r="I52" s="2397"/>
      <c r="J52" s="2372" t="str">
        <f t="shared" si="0"/>
        <v/>
      </c>
      <c r="K52" s="2373"/>
      <c r="L52" s="2373"/>
      <c r="M52" s="2374"/>
      <c r="N52" s="2398"/>
      <c r="O52" s="2396"/>
      <c r="P52" s="2396"/>
      <c r="Q52" s="2397"/>
      <c r="R52" s="2395"/>
      <c r="S52" s="2396"/>
      <c r="T52" s="2396"/>
      <c r="U52" s="2397"/>
      <c r="V52" s="2372" t="str">
        <f t="shared" si="1"/>
        <v/>
      </c>
      <c r="W52" s="2373"/>
      <c r="X52" s="2373"/>
      <c r="Y52" s="2379"/>
      <c r="Z52" s="2416"/>
      <c r="AA52" s="2417"/>
      <c r="AB52" s="2417"/>
      <c r="AC52" s="2417"/>
      <c r="AD52" s="2417"/>
      <c r="AE52" s="2417"/>
      <c r="AF52" s="2417"/>
      <c r="AG52" s="2417"/>
      <c r="AH52" s="2417"/>
      <c r="AI52" s="2418"/>
    </row>
    <row r="53" spans="1:35" ht="15" thickTop="1" thickBot="1">
      <c r="A53" s="1708"/>
      <c r="B53" s="2369"/>
      <c r="C53" s="2370"/>
      <c r="D53" s="2370"/>
      <c r="E53" s="2371"/>
      <c r="F53" s="2369"/>
      <c r="G53" s="2370"/>
      <c r="H53" s="2370"/>
      <c r="I53" s="2371"/>
      <c r="J53" s="2372" t="str">
        <f t="shared" si="0"/>
        <v/>
      </c>
      <c r="K53" s="2373"/>
      <c r="L53" s="2373"/>
      <c r="M53" s="2374"/>
      <c r="N53" s="2375"/>
      <c r="O53" s="2376"/>
      <c r="P53" s="2376"/>
      <c r="Q53" s="2377"/>
      <c r="R53" s="2378"/>
      <c r="S53" s="2376"/>
      <c r="T53" s="2376"/>
      <c r="U53" s="2377"/>
      <c r="V53" s="2372" t="str">
        <f t="shared" si="1"/>
        <v/>
      </c>
      <c r="W53" s="2373"/>
      <c r="X53" s="2373"/>
      <c r="Y53" s="2379"/>
      <c r="Z53" s="2416"/>
      <c r="AA53" s="2417"/>
      <c r="AB53" s="2417"/>
      <c r="AC53" s="2417"/>
      <c r="AD53" s="2417"/>
      <c r="AE53" s="2417"/>
      <c r="AF53" s="2417"/>
      <c r="AG53" s="2417"/>
      <c r="AH53" s="2417"/>
      <c r="AI53" s="2418"/>
    </row>
    <row r="54" spans="1:35" ht="15" thickTop="1" thickBot="1">
      <c r="A54" s="1709"/>
      <c r="B54" s="2386"/>
      <c r="C54" s="2384"/>
      <c r="D54" s="2384"/>
      <c r="E54" s="2385"/>
      <c r="F54" s="2386"/>
      <c r="G54" s="2384"/>
      <c r="H54" s="2384"/>
      <c r="I54" s="2385"/>
      <c r="J54" s="2372" t="str">
        <f t="shared" si="0"/>
        <v/>
      </c>
      <c r="K54" s="2373"/>
      <c r="L54" s="2373"/>
      <c r="M54" s="2374"/>
      <c r="N54" s="2383"/>
      <c r="O54" s="2384"/>
      <c r="P54" s="2384"/>
      <c r="Q54" s="2385"/>
      <c r="R54" s="2386"/>
      <c r="S54" s="2384"/>
      <c r="T54" s="2384"/>
      <c r="U54" s="2385"/>
      <c r="V54" s="2372" t="str">
        <f t="shared" si="1"/>
        <v/>
      </c>
      <c r="W54" s="2373"/>
      <c r="X54" s="2373"/>
      <c r="Y54" s="2379"/>
      <c r="Z54" s="2416"/>
      <c r="AA54" s="2417"/>
      <c r="AB54" s="2417"/>
      <c r="AC54" s="2417"/>
      <c r="AD54" s="2417"/>
      <c r="AE54" s="2417"/>
      <c r="AF54" s="2417"/>
      <c r="AG54" s="2417"/>
      <c r="AH54" s="2417"/>
      <c r="AI54" s="2418"/>
    </row>
    <row r="55" spans="1:35" ht="15" thickTop="1" thickBot="1">
      <c r="A55" s="1708"/>
      <c r="B55" s="2369"/>
      <c r="C55" s="2370"/>
      <c r="D55" s="2370"/>
      <c r="E55" s="2371"/>
      <c r="F55" s="2369"/>
      <c r="G55" s="2370"/>
      <c r="H55" s="2370"/>
      <c r="I55" s="2371"/>
      <c r="J55" s="2372" t="str">
        <f t="shared" si="0"/>
        <v/>
      </c>
      <c r="K55" s="2373"/>
      <c r="L55" s="2373"/>
      <c r="M55" s="2374"/>
      <c r="N55" s="2375"/>
      <c r="O55" s="2376"/>
      <c r="P55" s="2376"/>
      <c r="Q55" s="2377"/>
      <c r="R55" s="2378"/>
      <c r="S55" s="2376"/>
      <c r="T55" s="2376"/>
      <c r="U55" s="2377"/>
      <c r="V55" s="2372" t="str">
        <f t="shared" si="1"/>
        <v/>
      </c>
      <c r="W55" s="2373"/>
      <c r="X55" s="2373"/>
      <c r="Y55" s="2379"/>
      <c r="Z55" s="2416"/>
      <c r="AA55" s="2417"/>
      <c r="AB55" s="2417"/>
      <c r="AC55" s="2417"/>
      <c r="AD55" s="2417"/>
      <c r="AE55" s="2417"/>
      <c r="AF55" s="2417"/>
      <c r="AG55" s="2417"/>
      <c r="AH55" s="2417"/>
      <c r="AI55" s="2418"/>
    </row>
    <row r="56" spans="1:35" ht="15" thickTop="1" thickBot="1">
      <c r="A56" s="1709"/>
      <c r="B56" s="2386"/>
      <c r="C56" s="2384"/>
      <c r="D56" s="2384"/>
      <c r="E56" s="2385"/>
      <c r="F56" s="2386"/>
      <c r="G56" s="2384"/>
      <c r="H56" s="2384"/>
      <c r="I56" s="2385"/>
      <c r="J56" s="2372" t="str">
        <f t="shared" si="0"/>
        <v/>
      </c>
      <c r="K56" s="2373"/>
      <c r="L56" s="2373"/>
      <c r="M56" s="2374"/>
      <c r="N56" s="2383"/>
      <c r="O56" s="2384"/>
      <c r="P56" s="2384"/>
      <c r="Q56" s="2385"/>
      <c r="R56" s="2386"/>
      <c r="S56" s="2384"/>
      <c r="T56" s="2384"/>
      <c r="U56" s="2385"/>
      <c r="V56" s="2372" t="str">
        <f t="shared" si="1"/>
        <v/>
      </c>
      <c r="W56" s="2373"/>
      <c r="X56" s="2373"/>
      <c r="Y56" s="2379"/>
      <c r="Z56" s="2416"/>
      <c r="AA56" s="2417"/>
      <c r="AB56" s="2417"/>
      <c r="AC56" s="2417"/>
      <c r="AD56" s="2417"/>
      <c r="AE56" s="2417"/>
      <c r="AF56" s="2417"/>
      <c r="AG56" s="2417"/>
      <c r="AH56" s="2417"/>
      <c r="AI56" s="2418"/>
    </row>
    <row r="57" spans="1:35" ht="15" thickTop="1" thickBot="1">
      <c r="A57" s="1708"/>
      <c r="B57" s="2369"/>
      <c r="C57" s="2370"/>
      <c r="D57" s="2370"/>
      <c r="E57" s="2371"/>
      <c r="F57" s="2369"/>
      <c r="G57" s="2370"/>
      <c r="H57" s="2370"/>
      <c r="I57" s="2371"/>
      <c r="J57" s="2372" t="str">
        <f t="shared" si="0"/>
        <v/>
      </c>
      <c r="K57" s="2373"/>
      <c r="L57" s="2373"/>
      <c r="M57" s="2374"/>
      <c r="N57" s="2375"/>
      <c r="O57" s="2376"/>
      <c r="P57" s="2376"/>
      <c r="Q57" s="2377"/>
      <c r="R57" s="2378"/>
      <c r="S57" s="2376"/>
      <c r="T57" s="2376"/>
      <c r="U57" s="2377"/>
      <c r="V57" s="2372" t="str">
        <f t="shared" si="1"/>
        <v/>
      </c>
      <c r="W57" s="2373"/>
      <c r="X57" s="2373"/>
      <c r="Y57" s="2379"/>
      <c r="Z57" s="2416"/>
      <c r="AA57" s="2417"/>
      <c r="AB57" s="2417"/>
      <c r="AC57" s="2417"/>
      <c r="AD57" s="2417"/>
      <c r="AE57" s="2417"/>
      <c r="AF57" s="2417"/>
      <c r="AG57" s="2417"/>
      <c r="AH57" s="2417"/>
      <c r="AI57" s="2418"/>
    </row>
    <row r="58" spans="1:35" ht="15" thickTop="1" thickBot="1">
      <c r="A58" s="1709"/>
      <c r="B58" s="2386"/>
      <c r="C58" s="2384"/>
      <c r="D58" s="2384"/>
      <c r="E58" s="2385"/>
      <c r="F58" s="2386"/>
      <c r="G58" s="2384"/>
      <c r="H58" s="2384"/>
      <c r="I58" s="2385"/>
      <c r="J58" s="2372" t="str">
        <f t="shared" si="0"/>
        <v/>
      </c>
      <c r="K58" s="2373"/>
      <c r="L58" s="2373"/>
      <c r="M58" s="2374"/>
      <c r="N58" s="2383"/>
      <c r="O58" s="2384"/>
      <c r="P58" s="2384"/>
      <c r="Q58" s="2385"/>
      <c r="R58" s="2386"/>
      <c r="S58" s="2384"/>
      <c r="T58" s="2384"/>
      <c r="U58" s="2385"/>
      <c r="V58" s="2372" t="str">
        <f t="shared" si="1"/>
        <v/>
      </c>
      <c r="W58" s="2373"/>
      <c r="X58" s="2373"/>
      <c r="Y58" s="2379"/>
      <c r="Z58" s="2416"/>
      <c r="AA58" s="2417"/>
      <c r="AB58" s="2417"/>
      <c r="AC58" s="2417"/>
      <c r="AD58" s="2417"/>
      <c r="AE58" s="2417"/>
      <c r="AF58" s="2417"/>
      <c r="AG58" s="2417"/>
      <c r="AH58" s="2417"/>
      <c r="AI58" s="2418"/>
    </row>
    <row r="59" spans="1:35" ht="15" thickTop="1" thickBot="1">
      <c r="A59" s="1707"/>
      <c r="B59" s="2369"/>
      <c r="C59" s="2370"/>
      <c r="D59" s="2370"/>
      <c r="E59" s="2371"/>
      <c r="F59" s="2369"/>
      <c r="G59" s="2370"/>
      <c r="H59" s="2370"/>
      <c r="I59" s="2371"/>
      <c r="J59" s="2372" t="str">
        <f t="shared" si="0"/>
        <v/>
      </c>
      <c r="K59" s="2373"/>
      <c r="L59" s="2373"/>
      <c r="M59" s="2374"/>
      <c r="N59" s="2375"/>
      <c r="O59" s="2376"/>
      <c r="P59" s="2376"/>
      <c r="Q59" s="2377"/>
      <c r="R59" s="2378"/>
      <c r="S59" s="2376"/>
      <c r="T59" s="2376"/>
      <c r="U59" s="2377"/>
      <c r="V59" s="2372" t="str">
        <f t="shared" si="1"/>
        <v/>
      </c>
      <c r="W59" s="2373"/>
      <c r="X59" s="2373"/>
      <c r="Y59" s="2379"/>
      <c r="Z59" s="2416"/>
      <c r="AA59" s="2417"/>
      <c r="AB59" s="2417"/>
      <c r="AC59" s="2417"/>
      <c r="AD59" s="2417"/>
      <c r="AE59" s="2417"/>
      <c r="AF59" s="2417"/>
      <c r="AG59" s="2417"/>
      <c r="AH59" s="2417"/>
      <c r="AI59" s="2418"/>
    </row>
    <row r="60" spans="1:35" ht="15" thickTop="1" thickBot="1">
      <c r="A60" s="1709"/>
      <c r="B60" s="2386"/>
      <c r="C60" s="2384"/>
      <c r="D60" s="2384"/>
      <c r="E60" s="2385"/>
      <c r="F60" s="2386"/>
      <c r="G60" s="2384"/>
      <c r="H60" s="2384"/>
      <c r="I60" s="2385"/>
      <c r="J60" s="2372" t="str">
        <f t="shared" si="0"/>
        <v/>
      </c>
      <c r="K60" s="2373"/>
      <c r="L60" s="2373"/>
      <c r="M60" s="2374"/>
      <c r="N60" s="2383"/>
      <c r="O60" s="2384"/>
      <c r="P60" s="2384"/>
      <c r="Q60" s="2385"/>
      <c r="R60" s="2386"/>
      <c r="S60" s="2384"/>
      <c r="T60" s="2384"/>
      <c r="U60" s="2385"/>
      <c r="V60" s="2372" t="str">
        <f t="shared" si="1"/>
        <v/>
      </c>
      <c r="W60" s="2373"/>
      <c r="X60" s="2373"/>
      <c r="Y60" s="2379"/>
      <c r="Z60" s="2416"/>
      <c r="AA60" s="2417"/>
      <c r="AB60" s="2417"/>
      <c r="AC60" s="2417"/>
      <c r="AD60" s="2417"/>
      <c r="AE60" s="2417"/>
      <c r="AF60" s="2417"/>
      <c r="AG60" s="2417"/>
      <c r="AH60" s="2417"/>
      <c r="AI60" s="2418"/>
    </row>
    <row r="61" spans="1:35" ht="15" thickTop="1" thickBot="1">
      <c r="A61" s="1708"/>
      <c r="B61" s="2369"/>
      <c r="C61" s="2370"/>
      <c r="D61" s="2370"/>
      <c r="E61" s="2371"/>
      <c r="F61" s="2369"/>
      <c r="G61" s="2370"/>
      <c r="H61" s="2370"/>
      <c r="I61" s="2371"/>
      <c r="J61" s="2372" t="str">
        <f t="shared" si="0"/>
        <v/>
      </c>
      <c r="K61" s="2373"/>
      <c r="L61" s="2373"/>
      <c r="M61" s="2374"/>
      <c r="N61" s="2375"/>
      <c r="O61" s="2376"/>
      <c r="P61" s="2376"/>
      <c r="Q61" s="2377"/>
      <c r="R61" s="2378"/>
      <c r="S61" s="2376"/>
      <c r="T61" s="2376"/>
      <c r="U61" s="2377"/>
      <c r="V61" s="2372" t="str">
        <f t="shared" si="1"/>
        <v/>
      </c>
      <c r="W61" s="2373"/>
      <c r="X61" s="2373"/>
      <c r="Y61" s="2379"/>
      <c r="Z61" s="2416"/>
      <c r="AA61" s="2417"/>
      <c r="AB61" s="2417"/>
      <c r="AC61" s="2417"/>
      <c r="AD61" s="2417"/>
      <c r="AE61" s="2417"/>
      <c r="AF61" s="2417"/>
      <c r="AG61" s="2417"/>
      <c r="AH61" s="2417"/>
      <c r="AI61" s="2418"/>
    </row>
    <row r="62" spans="1:35" ht="15" thickTop="1" thickBot="1">
      <c r="A62" s="1709"/>
      <c r="B62" s="2386"/>
      <c r="C62" s="2384"/>
      <c r="D62" s="2384"/>
      <c r="E62" s="2385"/>
      <c r="F62" s="2386"/>
      <c r="G62" s="2384"/>
      <c r="H62" s="2384"/>
      <c r="I62" s="2385"/>
      <c r="J62" s="2372" t="str">
        <f t="shared" si="0"/>
        <v/>
      </c>
      <c r="K62" s="2373"/>
      <c r="L62" s="2373"/>
      <c r="M62" s="2374"/>
      <c r="N62" s="2383"/>
      <c r="O62" s="2384"/>
      <c r="P62" s="2384"/>
      <c r="Q62" s="2385"/>
      <c r="R62" s="2386"/>
      <c r="S62" s="2384"/>
      <c r="T62" s="2384"/>
      <c r="U62" s="2385"/>
      <c r="V62" s="2372" t="str">
        <f t="shared" si="1"/>
        <v/>
      </c>
      <c r="W62" s="2373"/>
      <c r="X62" s="2373"/>
      <c r="Y62" s="2379"/>
      <c r="Z62" s="2416"/>
      <c r="AA62" s="2417"/>
      <c r="AB62" s="2417"/>
      <c r="AC62" s="2417"/>
      <c r="AD62" s="2417"/>
      <c r="AE62" s="2417"/>
      <c r="AF62" s="2417"/>
      <c r="AG62" s="2417"/>
      <c r="AH62" s="2417"/>
      <c r="AI62" s="2418"/>
    </row>
    <row r="63" spans="1:35" ht="15" thickTop="1" thickBot="1">
      <c r="A63" s="1708"/>
      <c r="B63" s="2369"/>
      <c r="C63" s="2370"/>
      <c r="D63" s="2370"/>
      <c r="E63" s="2371"/>
      <c r="F63" s="2369"/>
      <c r="G63" s="2370"/>
      <c r="H63" s="2370"/>
      <c r="I63" s="2371"/>
      <c r="J63" s="2372" t="str">
        <f t="shared" si="0"/>
        <v/>
      </c>
      <c r="K63" s="2373"/>
      <c r="L63" s="2373"/>
      <c r="M63" s="2374"/>
      <c r="N63" s="2375"/>
      <c r="O63" s="2376"/>
      <c r="P63" s="2376"/>
      <c r="Q63" s="2377"/>
      <c r="R63" s="2378"/>
      <c r="S63" s="2376"/>
      <c r="T63" s="2376"/>
      <c r="U63" s="2377"/>
      <c r="V63" s="2372" t="str">
        <f t="shared" si="1"/>
        <v/>
      </c>
      <c r="W63" s="2373"/>
      <c r="X63" s="2373"/>
      <c r="Y63" s="2379"/>
      <c r="Z63" s="2416"/>
      <c r="AA63" s="2417"/>
      <c r="AB63" s="2417"/>
      <c r="AC63" s="2417"/>
      <c r="AD63" s="2417"/>
      <c r="AE63" s="2417"/>
      <c r="AF63" s="2417"/>
      <c r="AG63" s="2417"/>
      <c r="AH63" s="2417"/>
      <c r="AI63" s="2418"/>
    </row>
    <row r="64" spans="1:35" ht="15" thickTop="1" thickBot="1">
      <c r="A64" s="1709"/>
      <c r="B64" s="2386"/>
      <c r="C64" s="2384"/>
      <c r="D64" s="2384"/>
      <c r="E64" s="2385"/>
      <c r="F64" s="2386"/>
      <c r="G64" s="2384"/>
      <c r="H64" s="2384"/>
      <c r="I64" s="2385"/>
      <c r="J64" s="2372" t="str">
        <f t="shared" si="0"/>
        <v/>
      </c>
      <c r="K64" s="2373"/>
      <c r="L64" s="2373"/>
      <c r="M64" s="2374"/>
      <c r="N64" s="2383"/>
      <c r="O64" s="2384"/>
      <c r="P64" s="2384"/>
      <c r="Q64" s="2385"/>
      <c r="R64" s="2386"/>
      <c r="S64" s="2384"/>
      <c r="T64" s="2384"/>
      <c r="U64" s="2385"/>
      <c r="V64" s="2372" t="str">
        <f t="shared" si="1"/>
        <v/>
      </c>
      <c r="W64" s="2373"/>
      <c r="X64" s="2373"/>
      <c r="Y64" s="2379"/>
      <c r="Z64" s="2416"/>
      <c r="AA64" s="2417"/>
      <c r="AB64" s="2417"/>
      <c r="AC64" s="2417"/>
      <c r="AD64" s="2417"/>
      <c r="AE64" s="2417"/>
      <c r="AF64" s="2417"/>
      <c r="AG64" s="2417"/>
      <c r="AH64" s="2417"/>
      <c r="AI64" s="2418"/>
    </row>
    <row r="65" spans="1:35" ht="15" thickTop="1" thickBot="1">
      <c r="A65" s="1707"/>
      <c r="B65" s="2369"/>
      <c r="C65" s="2370"/>
      <c r="D65" s="2370"/>
      <c r="E65" s="2371"/>
      <c r="F65" s="2369"/>
      <c r="G65" s="2370"/>
      <c r="H65" s="2370"/>
      <c r="I65" s="2371"/>
      <c r="J65" s="2372" t="str">
        <f t="shared" si="0"/>
        <v/>
      </c>
      <c r="K65" s="2373"/>
      <c r="L65" s="2373"/>
      <c r="M65" s="2374"/>
      <c r="N65" s="2375"/>
      <c r="O65" s="2376"/>
      <c r="P65" s="2376"/>
      <c r="Q65" s="2377"/>
      <c r="R65" s="2378"/>
      <c r="S65" s="2376"/>
      <c r="T65" s="2376"/>
      <c r="U65" s="2377"/>
      <c r="V65" s="2372" t="str">
        <f t="shared" si="1"/>
        <v/>
      </c>
      <c r="W65" s="2373"/>
      <c r="X65" s="2373"/>
      <c r="Y65" s="2379"/>
      <c r="Z65" s="2416"/>
      <c r="AA65" s="2417"/>
      <c r="AB65" s="2417"/>
      <c r="AC65" s="2417"/>
      <c r="AD65" s="2417"/>
      <c r="AE65" s="2417"/>
      <c r="AF65" s="2417"/>
      <c r="AG65" s="2417"/>
      <c r="AH65" s="2417"/>
      <c r="AI65" s="2418"/>
    </row>
    <row r="66" spans="1:35" ht="15" thickTop="1" thickBot="1">
      <c r="A66" s="1710"/>
      <c r="B66" s="2380"/>
      <c r="C66" s="2381"/>
      <c r="D66" s="2381"/>
      <c r="E66" s="2382"/>
      <c r="F66" s="2381"/>
      <c r="G66" s="2381"/>
      <c r="H66" s="2381"/>
      <c r="I66" s="2382"/>
      <c r="J66" s="2372" t="str">
        <f t="shared" si="0"/>
        <v/>
      </c>
      <c r="K66" s="2373"/>
      <c r="L66" s="2373"/>
      <c r="M66" s="2374"/>
      <c r="N66" s="2383"/>
      <c r="O66" s="2384"/>
      <c r="P66" s="2384"/>
      <c r="Q66" s="2385"/>
      <c r="R66" s="2386"/>
      <c r="S66" s="2384"/>
      <c r="T66" s="2384"/>
      <c r="U66" s="2385"/>
      <c r="V66" s="2372" t="str">
        <f t="shared" si="1"/>
        <v/>
      </c>
      <c r="W66" s="2373"/>
      <c r="X66" s="2373"/>
      <c r="Y66" s="2379"/>
      <c r="Z66" s="2416"/>
      <c r="AA66" s="2417"/>
      <c r="AB66" s="2417"/>
      <c r="AC66" s="2417"/>
      <c r="AD66" s="2417"/>
      <c r="AE66" s="2417"/>
      <c r="AF66" s="2417"/>
      <c r="AG66" s="2417"/>
      <c r="AH66" s="2417"/>
      <c r="AI66" s="2418"/>
    </row>
    <row r="67" spans="1:35" ht="14" thickTop="1">
      <c r="A67" s="1711"/>
      <c r="B67" s="1712"/>
      <c r="C67" s="1713"/>
      <c r="D67" s="1713"/>
      <c r="E67" s="1714"/>
      <c r="F67" s="1713"/>
      <c r="G67" s="1713"/>
      <c r="H67" s="1713"/>
      <c r="I67" s="1714"/>
      <c r="J67" s="2372" t="str">
        <f t="shared" si="0"/>
        <v/>
      </c>
      <c r="K67" s="2373"/>
      <c r="L67" s="2373"/>
      <c r="M67" s="2374"/>
      <c r="N67" s="2387"/>
      <c r="O67" s="2388"/>
      <c r="P67" s="2388"/>
      <c r="Q67" s="2389"/>
      <c r="R67" s="2390"/>
      <c r="S67" s="2388"/>
      <c r="T67" s="2388"/>
      <c r="U67" s="2389"/>
      <c r="V67" s="2372" t="str">
        <f t="shared" si="1"/>
        <v/>
      </c>
      <c r="W67" s="2373"/>
      <c r="X67" s="2373"/>
      <c r="Y67" s="2379"/>
      <c r="Z67" s="2205" t="s">
        <v>2936</v>
      </c>
      <c r="AA67" s="2206"/>
      <c r="AB67" s="2206"/>
      <c r="AC67" s="2206"/>
      <c r="AD67" s="2206"/>
      <c r="AE67" s="2206"/>
      <c r="AF67" s="2206"/>
      <c r="AG67" s="2206"/>
      <c r="AH67" s="2206"/>
      <c r="AI67" s="2207"/>
    </row>
    <row r="68" spans="1:35">
      <c r="A68" s="2208" t="s">
        <v>2935</v>
      </c>
      <c r="B68" s="2209"/>
      <c r="C68" s="2209"/>
      <c r="D68" s="2209"/>
      <c r="E68" s="2209"/>
      <c r="F68" s="2209"/>
      <c r="G68" s="2209"/>
      <c r="H68" s="2209"/>
      <c r="I68" s="2210"/>
      <c r="J68" s="2211" t="str">
        <f>IF(B47=0,"",SUM(J41:M67))</f>
        <v/>
      </c>
      <c r="K68" s="2212"/>
      <c r="L68" s="2212"/>
      <c r="M68" s="2212"/>
      <c r="N68" s="2391"/>
      <c r="O68" s="2392"/>
      <c r="P68" s="2392"/>
      <c r="Q68" s="2393"/>
      <c r="R68" s="2394"/>
      <c r="S68" s="2392"/>
      <c r="T68" s="2392"/>
      <c r="U68" s="2393"/>
      <c r="V68" s="2211" t="str">
        <f>IF(N47=0,"",SUM(V41:Y67))</f>
        <v/>
      </c>
      <c r="W68" s="2212"/>
      <c r="X68" s="2212"/>
      <c r="Y68" s="2212"/>
      <c r="Z68" s="2217" t="str">
        <f>IF(B47=0,"",((J68+V68)/2))</f>
        <v/>
      </c>
      <c r="AA68" s="2218"/>
      <c r="AB68" s="2218"/>
      <c r="AC68" s="2218"/>
      <c r="AD68" s="2218"/>
      <c r="AE68" s="2218"/>
      <c r="AF68" s="2218"/>
      <c r="AG68" s="2218"/>
      <c r="AH68" s="2218"/>
      <c r="AI68" s="2219"/>
    </row>
    <row r="69" spans="1:35">
      <c r="A69" s="2220" t="s">
        <v>2934</v>
      </c>
      <c r="B69" s="2221"/>
      <c r="C69" s="2221"/>
      <c r="D69" s="2221"/>
      <c r="E69" s="2221"/>
      <c r="F69" s="2221"/>
      <c r="G69" s="2221"/>
      <c r="H69" s="2221"/>
      <c r="I69" s="2222"/>
      <c r="J69" s="2223" t="str">
        <f>IF(B47=0,"",(100-J68))</f>
        <v/>
      </c>
      <c r="K69" s="2224"/>
      <c r="L69" s="2224"/>
      <c r="M69" s="2224"/>
      <c r="N69" s="2225"/>
      <c r="O69" s="2226"/>
      <c r="P69" s="2226"/>
      <c r="Q69" s="2227"/>
      <c r="R69" s="2228"/>
      <c r="S69" s="2226"/>
      <c r="T69" s="2226"/>
      <c r="U69" s="2227"/>
      <c r="V69" s="2223" t="str">
        <f>IF(N47=0,"",(100-V68))</f>
        <v/>
      </c>
      <c r="W69" s="2224"/>
      <c r="X69" s="2224"/>
      <c r="Y69" s="2224"/>
      <c r="Z69" s="2217" t="str">
        <f>IF(B47=0,"",((J69+V69)/2))</f>
        <v/>
      </c>
      <c r="AA69" s="2218"/>
      <c r="AB69" s="2218"/>
      <c r="AC69" s="2218"/>
      <c r="AD69" s="2218"/>
      <c r="AE69" s="2218"/>
      <c r="AF69" s="2218"/>
      <c r="AG69" s="2218"/>
      <c r="AH69" s="2218"/>
      <c r="AI69" s="2219"/>
    </row>
    <row r="70" spans="1:35" ht="14" thickBot="1">
      <c r="A70" s="2192" t="s">
        <v>2933</v>
      </c>
      <c r="B70" s="2193"/>
      <c r="C70" s="2193"/>
      <c r="D70" s="2193"/>
      <c r="E70" s="2193"/>
      <c r="F70" s="2193"/>
      <c r="G70" s="2193"/>
      <c r="H70" s="2193"/>
      <c r="I70" s="2194"/>
      <c r="J70" s="2195" t="str">
        <f>IF(B47=0,"",J68/100)</f>
        <v/>
      </c>
      <c r="K70" s="2196"/>
      <c r="L70" s="2196"/>
      <c r="M70" s="2197"/>
      <c r="N70" s="2198"/>
      <c r="O70" s="2199"/>
      <c r="P70" s="2199"/>
      <c r="Q70" s="2200"/>
      <c r="R70" s="2201"/>
      <c r="S70" s="2199"/>
      <c r="T70" s="2199"/>
      <c r="U70" s="2200"/>
      <c r="V70" s="2195" t="str">
        <f>IF(N47=0,"",V68/100)</f>
        <v/>
      </c>
      <c r="W70" s="2196"/>
      <c r="X70" s="2196"/>
      <c r="Y70" s="2197"/>
      <c r="Z70" s="2202" t="str">
        <f>IF(B47=0,"",(Z68/100))</f>
        <v/>
      </c>
      <c r="AA70" s="2203"/>
      <c r="AB70" s="2203"/>
      <c r="AC70" s="2203"/>
      <c r="AD70" s="2203"/>
      <c r="AE70" s="2203"/>
      <c r="AF70" s="2203"/>
      <c r="AG70" s="2203"/>
      <c r="AH70" s="2203"/>
      <c r="AI70" s="2204"/>
    </row>
    <row r="71" spans="1:35">
      <c r="A71" s="1458"/>
      <c r="B71" s="1459"/>
      <c r="C71" s="1459"/>
      <c r="D71" s="1459"/>
      <c r="E71" s="1459"/>
      <c r="F71" s="1459"/>
      <c r="G71" s="1459"/>
      <c r="H71" s="1459"/>
      <c r="I71" s="1459"/>
      <c r="J71" s="1458"/>
      <c r="K71" s="1458"/>
    </row>
    <row r="73" spans="1:35" ht="14" thickBot="1"/>
    <row r="74" spans="1:35" ht="17.25" customHeight="1">
      <c r="A74" s="2094" t="s">
        <v>2979</v>
      </c>
      <c r="B74" s="2095"/>
      <c r="C74" s="2095"/>
      <c r="D74" s="2095"/>
      <c r="E74" s="2095"/>
      <c r="F74" s="2095"/>
      <c r="G74" s="2095"/>
      <c r="H74" s="2095"/>
      <c r="I74" s="2095"/>
      <c r="J74" s="2095"/>
      <c r="K74" s="2095"/>
      <c r="L74" s="2095"/>
      <c r="M74" s="2095"/>
      <c r="N74" s="2095"/>
      <c r="O74" s="2095"/>
      <c r="P74" s="2095"/>
      <c r="Q74" s="2095"/>
      <c r="R74" s="2095"/>
      <c r="S74" s="2095"/>
      <c r="T74" s="2095"/>
      <c r="U74" s="2095"/>
      <c r="V74" s="2095"/>
      <c r="W74" s="2095"/>
      <c r="X74" s="2095"/>
      <c r="Y74" s="2095"/>
      <c r="Z74" s="2095"/>
      <c r="AA74" s="2095"/>
      <c r="AB74" s="2095"/>
      <c r="AC74" s="2095"/>
      <c r="AD74" s="2095"/>
      <c r="AE74" s="2095"/>
      <c r="AF74" s="2095"/>
      <c r="AG74" s="2095"/>
      <c r="AH74" s="2095"/>
      <c r="AI74" s="2096"/>
    </row>
    <row r="75" spans="1:35">
      <c r="A75" s="2097" t="s">
        <v>2950</v>
      </c>
      <c r="B75" s="2098"/>
      <c r="C75" s="2098"/>
      <c r="D75" s="2098" t="s">
        <v>2978</v>
      </c>
      <c r="E75" s="2098"/>
      <c r="F75" s="2098"/>
      <c r="G75" s="2098"/>
      <c r="H75" s="2098"/>
      <c r="I75" s="2098"/>
      <c r="J75" s="2098"/>
      <c r="K75" s="2299" t="s">
        <v>2977</v>
      </c>
      <c r="L75" s="2299"/>
      <c r="M75" s="2299"/>
      <c r="N75" s="2299"/>
      <c r="O75" s="2299"/>
      <c r="P75" s="2299"/>
      <c r="Q75" s="2299"/>
      <c r="R75" s="2299"/>
      <c r="S75" s="2299"/>
      <c r="T75" s="2299"/>
      <c r="U75" s="2299"/>
      <c r="V75" s="2299"/>
      <c r="W75" s="2299"/>
      <c r="X75" s="2098" t="s">
        <v>2930</v>
      </c>
      <c r="Y75" s="2098"/>
      <c r="Z75" s="2098"/>
      <c r="AA75" s="2098"/>
      <c r="AB75" s="2098"/>
      <c r="AC75" s="2098"/>
      <c r="AD75" s="2098"/>
      <c r="AE75" s="2098"/>
      <c r="AF75" s="2098"/>
      <c r="AG75" s="2098" t="s">
        <v>2976</v>
      </c>
      <c r="AH75" s="2098"/>
      <c r="AI75" s="2099"/>
    </row>
    <row r="76" spans="1:35">
      <c r="A76" s="2187" t="s">
        <v>2946</v>
      </c>
      <c r="B76" s="2165"/>
      <c r="C76" s="2165" t="s">
        <v>2945</v>
      </c>
      <c r="D76" s="2165"/>
      <c r="E76" s="2165"/>
      <c r="F76" s="2165"/>
      <c r="G76" s="2165"/>
      <c r="H76" s="2165"/>
      <c r="I76" s="2165"/>
      <c r="J76" s="2165"/>
      <c r="K76" s="2165"/>
      <c r="L76" s="2165"/>
      <c r="M76" s="2165"/>
      <c r="N76" s="2165"/>
      <c r="O76" s="2165"/>
      <c r="P76" s="2165"/>
      <c r="Q76" s="2165"/>
      <c r="R76" s="2165"/>
      <c r="S76" s="2165"/>
      <c r="T76" s="2188" t="s">
        <v>2889</v>
      </c>
      <c r="U76" s="2189"/>
      <c r="V76" s="2189"/>
      <c r="W76" s="2190"/>
      <c r="X76" s="2190"/>
      <c r="Y76" s="2191"/>
      <c r="Z76" s="2301" t="s">
        <v>2887</v>
      </c>
      <c r="AA76" s="2301"/>
      <c r="AB76" s="2301"/>
      <c r="AC76" s="2301"/>
      <c r="AD76" s="2301"/>
      <c r="AE76" s="2301"/>
      <c r="AF76" s="2301"/>
      <c r="AG76" s="2301"/>
      <c r="AH76" s="2301"/>
      <c r="AI76" s="2302"/>
    </row>
    <row r="77" spans="1:35">
      <c r="A77" s="1564" t="s">
        <v>2975</v>
      </c>
      <c r="B77" s="2165" t="s">
        <v>2974</v>
      </c>
      <c r="C77" s="2165"/>
      <c r="D77" s="2165"/>
      <c r="E77" s="2165"/>
      <c r="F77" s="2165"/>
      <c r="G77" s="2165" t="s">
        <v>2973</v>
      </c>
      <c r="H77" s="2165"/>
      <c r="I77" s="2165"/>
      <c r="J77" s="2165"/>
      <c r="K77" s="2165"/>
      <c r="L77" s="2165" t="s">
        <v>2972</v>
      </c>
      <c r="M77" s="2165"/>
      <c r="N77" s="2165"/>
      <c r="O77" s="2165"/>
      <c r="P77" s="2165"/>
      <c r="Q77" s="2165" t="s">
        <v>2971</v>
      </c>
      <c r="R77" s="2165"/>
      <c r="S77" s="2165"/>
      <c r="T77" s="2165"/>
      <c r="U77" s="2165"/>
      <c r="V77" s="2165"/>
      <c r="W77" s="2366" t="s">
        <v>2970</v>
      </c>
      <c r="X77" s="2367"/>
      <c r="Y77" s="2367"/>
      <c r="Z77" s="2367"/>
      <c r="AA77" s="2367"/>
      <c r="AB77" s="2367"/>
      <c r="AC77" s="2367"/>
      <c r="AD77" s="2367"/>
      <c r="AE77" s="2367"/>
      <c r="AF77" s="2367"/>
      <c r="AG77" s="2367"/>
      <c r="AH77" s="2367"/>
      <c r="AI77" s="2368"/>
    </row>
    <row r="78" spans="1:35" ht="27" thickBot="1">
      <c r="A78" s="1594" t="s">
        <v>2922</v>
      </c>
      <c r="B78" s="2353"/>
      <c r="C78" s="2354"/>
      <c r="D78" s="2354"/>
      <c r="E78" s="2354"/>
      <c r="F78" s="2354"/>
      <c r="G78" s="2355"/>
      <c r="H78" s="2350" t="s">
        <v>2921</v>
      </c>
      <c r="I78" s="2351"/>
      <c r="J78" s="2351"/>
      <c r="K78" s="2351"/>
      <c r="L78" s="2351"/>
      <c r="M78" s="2352"/>
      <c r="N78" s="2353" t="s">
        <v>2969</v>
      </c>
      <c r="O78" s="2354"/>
      <c r="P78" s="2354"/>
      <c r="Q78" s="2354"/>
      <c r="R78" s="2354"/>
      <c r="S78" s="2354"/>
      <c r="T78" s="2354"/>
      <c r="U78" s="2354"/>
      <c r="V78" s="2355"/>
      <c r="W78" s="2172" t="s">
        <v>2968</v>
      </c>
      <c r="X78" s="2173"/>
      <c r="Y78" s="2173"/>
      <c r="Z78" s="2173"/>
      <c r="AA78" s="2173"/>
      <c r="AB78" s="2173"/>
      <c r="AC78" s="2173"/>
      <c r="AD78" s="2173"/>
      <c r="AE78" s="2173"/>
      <c r="AF78" s="1593" t="s">
        <v>2967</v>
      </c>
      <c r="AG78" s="1592" t="s">
        <v>2966</v>
      </c>
      <c r="AH78" s="2356" t="s">
        <v>2965</v>
      </c>
      <c r="AI78" s="2357"/>
    </row>
    <row r="79" spans="1:35" ht="14" thickBot="1">
      <c r="A79" s="1558" t="s">
        <v>2916</v>
      </c>
      <c r="B79" s="2176" t="s">
        <v>2915</v>
      </c>
      <c r="C79" s="2177"/>
      <c r="D79" s="2177"/>
      <c r="E79" s="2177"/>
      <c r="F79" s="2177"/>
      <c r="G79" s="2177"/>
      <c r="H79" s="2177"/>
      <c r="I79" s="2177"/>
      <c r="J79" s="2177"/>
      <c r="K79" s="2177"/>
      <c r="L79" s="2177"/>
      <c r="M79" s="2177"/>
      <c r="N79" s="2177"/>
      <c r="O79" s="2177"/>
      <c r="P79" s="2177"/>
      <c r="Q79" s="2177"/>
      <c r="R79" s="2177"/>
      <c r="S79" s="2177"/>
      <c r="T79" s="2177"/>
      <c r="U79" s="2177"/>
      <c r="V79" s="2177"/>
      <c r="W79" s="2177"/>
      <c r="X79" s="2177"/>
      <c r="Y79" s="2177"/>
      <c r="Z79" s="2177"/>
      <c r="AA79" s="2177"/>
      <c r="AB79" s="2177"/>
      <c r="AC79" s="2177"/>
      <c r="AD79" s="2177"/>
      <c r="AE79" s="2178"/>
      <c r="AF79" s="1557" t="s">
        <v>76</v>
      </c>
      <c r="AG79" s="1556" t="s">
        <v>454</v>
      </c>
      <c r="AH79" s="2170" t="s">
        <v>2199</v>
      </c>
      <c r="AI79" s="2171"/>
    </row>
    <row r="80" spans="1:35" ht="14" thickTop="1">
      <c r="A80" s="1555" t="s">
        <v>2914</v>
      </c>
      <c r="B80" s="2358">
        <v>33</v>
      </c>
      <c r="C80" s="2359"/>
      <c r="D80" s="2359"/>
      <c r="E80" s="2359"/>
      <c r="F80" s="2359"/>
      <c r="G80" s="2359"/>
      <c r="H80" s="2359"/>
      <c r="I80" s="2359"/>
      <c r="J80" s="2359"/>
      <c r="K80" s="2359"/>
      <c r="L80" s="2359"/>
      <c r="M80" s="2359"/>
      <c r="N80" s="2359"/>
      <c r="O80" s="2359"/>
      <c r="P80" s="2359"/>
      <c r="Q80" s="2359"/>
      <c r="R80" s="2359"/>
      <c r="S80" s="2359"/>
      <c r="T80" s="2359"/>
      <c r="U80" s="2359"/>
      <c r="V80" s="2359"/>
      <c r="W80" s="2359"/>
      <c r="X80" s="2359"/>
      <c r="Y80" s="2359"/>
      <c r="Z80" s="2359"/>
      <c r="AA80" s="2359"/>
      <c r="AB80" s="2359"/>
      <c r="AC80" s="2359"/>
      <c r="AD80" s="2359"/>
      <c r="AE80" s="2360"/>
      <c r="AF80" s="1588">
        <v>33</v>
      </c>
      <c r="AG80" s="1587">
        <v>0.33</v>
      </c>
      <c r="AH80" s="2361" t="s">
        <v>2964</v>
      </c>
      <c r="AI80" s="2362"/>
    </row>
    <row r="81" spans="1:35">
      <c r="A81" s="1487" t="s">
        <v>2913</v>
      </c>
      <c r="B81" s="2326"/>
      <c r="C81" s="2327"/>
      <c r="D81" s="2327"/>
      <c r="E81" s="2327"/>
      <c r="F81" s="2327"/>
      <c r="G81" s="2327"/>
      <c r="H81" s="2327"/>
      <c r="I81" s="2327"/>
      <c r="J81" s="2327"/>
      <c r="K81" s="2327"/>
      <c r="L81" s="2327"/>
      <c r="M81" s="2327"/>
      <c r="N81" s="2327"/>
      <c r="O81" s="2327"/>
      <c r="P81" s="2327"/>
      <c r="Q81" s="2327"/>
      <c r="R81" s="2327"/>
      <c r="S81" s="2327"/>
      <c r="T81" s="2327"/>
      <c r="U81" s="2327"/>
      <c r="V81" s="2327"/>
      <c r="W81" s="2327"/>
      <c r="X81" s="2327"/>
      <c r="Y81" s="2327"/>
      <c r="Z81" s="2327"/>
      <c r="AA81" s="2327"/>
      <c r="AB81" s="2327"/>
      <c r="AC81" s="2327"/>
      <c r="AD81" s="2327"/>
      <c r="AE81" s="2328"/>
      <c r="AF81" s="1590"/>
      <c r="AG81" s="1589"/>
      <c r="AH81" s="2308"/>
      <c r="AI81" s="2309"/>
    </row>
    <row r="82" spans="1:35">
      <c r="A82" s="1591" t="s">
        <v>2912</v>
      </c>
      <c r="B82" s="2329"/>
      <c r="C82" s="2330"/>
      <c r="D82" s="2330"/>
      <c r="E82" s="2330"/>
      <c r="F82" s="2330"/>
      <c r="G82" s="2330"/>
      <c r="H82" s="2330"/>
      <c r="I82" s="2330"/>
      <c r="J82" s="2330"/>
      <c r="K82" s="2330"/>
      <c r="L82" s="2330"/>
      <c r="M82" s="2330"/>
      <c r="N82" s="2330"/>
      <c r="O82" s="2330"/>
      <c r="P82" s="2330"/>
      <c r="Q82" s="2330"/>
      <c r="R82" s="2330"/>
      <c r="S82" s="2330"/>
      <c r="T82" s="2330"/>
      <c r="U82" s="2330"/>
      <c r="V82" s="2330"/>
      <c r="W82" s="2330"/>
      <c r="X82" s="2330"/>
      <c r="Y82" s="2330"/>
      <c r="Z82" s="2330"/>
      <c r="AA82" s="2330"/>
      <c r="AB82" s="2330"/>
      <c r="AC82" s="2330"/>
      <c r="AD82" s="2330"/>
      <c r="AE82" s="2331"/>
      <c r="AF82" s="1588"/>
      <c r="AG82" s="1587"/>
      <c r="AH82" s="2135"/>
      <c r="AI82" s="2136"/>
    </row>
    <row r="83" spans="1:35">
      <c r="A83" s="1487" t="s">
        <v>2911</v>
      </c>
      <c r="B83" s="2326">
        <v>45</v>
      </c>
      <c r="C83" s="2327"/>
      <c r="D83" s="2327"/>
      <c r="E83" s="2327"/>
      <c r="F83" s="2327"/>
      <c r="G83" s="2327"/>
      <c r="H83" s="2327"/>
      <c r="I83" s="2327"/>
      <c r="J83" s="2327"/>
      <c r="K83" s="2327"/>
      <c r="L83" s="2327"/>
      <c r="M83" s="2327"/>
      <c r="N83" s="2327"/>
      <c r="O83" s="2327"/>
      <c r="P83" s="2327"/>
      <c r="Q83" s="2327"/>
      <c r="R83" s="2327"/>
      <c r="S83" s="2327"/>
      <c r="T83" s="2327"/>
      <c r="U83" s="2327"/>
      <c r="V83" s="2327"/>
      <c r="W83" s="2327"/>
      <c r="X83" s="2327"/>
      <c r="Y83" s="2327"/>
      <c r="Z83" s="2327"/>
      <c r="AA83" s="2327"/>
      <c r="AB83" s="2327"/>
      <c r="AC83" s="2327"/>
      <c r="AD83" s="2327"/>
      <c r="AE83" s="2328"/>
      <c r="AF83" s="1590">
        <v>45</v>
      </c>
      <c r="AG83" s="1589">
        <v>0.45</v>
      </c>
      <c r="AH83" s="2308" t="s">
        <v>2962</v>
      </c>
      <c r="AI83" s="2309"/>
    </row>
    <row r="84" spans="1:35">
      <c r="A84" s="1591" t="s">
        <v>2910</v>
      </c>
      <c r="B84" s="2329">
        <v>1</v>
      </c>
      <c r="C84" s="2330"/>
      <c r="D84" s="2330"/>
      <c r="E84" s="2330"/>
      <c r="F84" s="2330"/>
      <c r="G84" s="2330"/>
      <c r="H84" s="2330"/>
      <c r="I84" s="2330"/>
      <c r="J84" s="2330"/>
      <c r="K84" s="2330"/>
      <c r="L84" s="2330"/>
      <c r="M84" s="2330"/>
      <c r="N84" s="2330"/>
      <c r="O84" s="2330"/>
      <c r="P84" s="2330"/>
      <c r="Q84" s="2330"/>
      <c r="R84" s="2330"/>
      <c r="S84" s="2330"/>
      <c r="T84" s="2330"/>
      <c r="U84" s="2330"/>
      <c r="V84" s="2330"/>
      <c r="W84" s="2330"/>
      <c r="X84" s="2330"/>
      <c r="Y84" s="2330"/>
      <c r="Z84" s="2330"/>
      <c r="AA84" s="2330"/>
      <c r="AB84" s="2330"/>
      <c r="AC84" s="2330"/>
      <c r="AD84" s="2330"/>
      <c r="AE84" s="2331"/>
      <c r="AF84" s="1588">
        <v>1</v>
      </c>
      <c r="AG84" s="1587">
        <v>0.01</v>
      </c>
      <c r="AH84" s="2135" t="s">
        <v>2963</v>
      </c>
      <c r="AI84" s="2136"/>
    </row>
    <row r="85" spans="1:35">
      <c r="A85" s="1487" t="s">
        <v>2909</v>
      </c>
      <c r="B85" s="2326">
        <v>21</v>
      </c>
      <c r="C85" s="2327"/>
      <c r="D85" s="2327"/>
      <c r="E85" s="2327"/>
      <c r="F85" s="2327"/>
      <c r="G85" s="2327"/>
      <c r="H85" s="2327"/>
      <c r="I85" s="2327"/>
      <c r="J85" s="2327"/>
      <c r="K85" s="2327"/>
      <c r="L85" s="2327"/>
      <c r="M85" s="2327"/>
      <c r="N85" s="2327"/>
      <c r="O85" s="2327"/>
      <c r="P85" s="2327"/>
      <c r="Q85" s="2327"/>
      <c r="R85" s="2327"/>
      <c r="S85" s="2327"/>
      <c r="T85" s="2327"/>
      <c r="U85" s="2327"/>
      <c r="V85" s="2327"/>
      <c r="W85" s="2327"/>
      <c r="X85" s="2327"/>
      <c r="Y85" s="2327"/>
      <c r="Z85" s="2327"/>
      <c r="AA85" s="2327"/>
      <c r="AB85" s="2327"/>
      <c r="AC85" s="2327"/>
      <c r="AD85" s="2327"/>
      <c r="AE85" s="2328"/>
      <c r="AF85" s="1590">
        <v>21</v>
      </c>
      <c r="AG85" s="1589">
        <v>0.21</v>
      </c>
      <c r="AH85" s="2308" t="s">
        <v>2962</v>
      </c>
      <c r="AI85" s="2309"/>
    </row>
    <row r="86" spans="1:35">
      <c r="A86" s="1488" t="s">
        <v>2908</v>
      </c>
      <c r="B86" s="2329"/>
      <c r="C86" s="2330"/>
      <c r="D86" s="2330"/>
      <c r="E86" s="2330"/>
      <c r="F86" s="2330"/>
      <c r="G86" s="2330"/>
      <c r="H86" s="2330"/>
      <c r="I86" s="2330"/>
      <c r="J86" s="2330"/>
      <c r="K86" s="2330"/>
      <c r="L86" s="2330"/>
      <c r="M86" s="2330"/>
      <c r="N86" s="2330"/>
      <c r="O86" s="2330"/>
      <c r="P86" s="2330"/>
      <c r="Q86" s="2330"/>
      <c r="R86" s="2330"/>
      <c r="S86" s="2330"/>
      <c r="T86" s="2330"/>
      <c r="U86" s="2330"/>
      <c r="V86" s="2330"/>
      <c r="W86" s="2330"/>
      <c r="X86" s="2330"/>
      <c r="Y86" s="2330"/>
      <c r="Z86" s="2330"/>
      <c r="AA86" s="2330"/>
      <c r="AB86" s="2330"/>
      <c r="AC86" s="2330"/>
      <c r="AD86" s="2330"/>
      <c r="AE86" s="2331"/>
      <c r="AF86" s="1588"/>
      <c r="AG86" s="1587"/>
      <c r="AH86" s="2135"/>
      <c r="AI86" s="2136"/>
    </row>
    <row r="87" spans="1:35">
      <c r="A87" s="1487" t="s">
        <v>2907</v>
      </c>
      <c r="B87" s="2363"/>
      <c r="C87" s="2364"/>
      <c r="D87" s="2364"/>
      <c r="E87" s="2364"/>
      <c r="F87" s="2364"/>
      <c r="G87" s="2364"/>
      <c r="H87" s="2364"/>
      <c r="I87" s="2364"/>
      <c r="J87" s="2364"/>
      <c r="K87" s="2364"/>
      <c r="L87" s="2364"/>
      <c r="M87" s="2364"/>
      <c r="N87" s="2364"/>
      <c r="O87" s="2364"/>
      <c r="P87" s="2364"/>
      <c r="Q87" s="2364"/>
      <c r="R87" s="2364"/>
      <c r="S87" s="2364"/>
      <c r="T87" s="2364"/>
      <c r="U87" s="2364"/>
      <c r="V87" s="2364"/>
      <c r="W87" s="2364"/>
      <c r="X87" s="2364"/>
      <c r="Y87" s="2364"/>
      <c r="Z87" s="2364"/>
      <c r="AA87" s="2364"/>
      <c r="AB87" s="2364"/>
      <c r="AC87" s="2364"/>
      <c r="AD87" s="2364"/>
      <c r="AE87" s="2365"/>
      <c r="AF87" s="1586"/>
      <c r="AG87" s="1585"/>
      <c r="AH87" s="2308"/>
      <c r="AI87" s="2309"/>
    </row>
    <row r="88" spans="1:35" ht="14" thickBot="1">
      <c r="A88" s="1466" t="s">
        <v>2907</v>
      </c>
      <c r="B88" s="2315"/>
      <c r="C88" s="2316"/>
      <c r="D88" s="2316"/>
      <c r="E88" s="2316"/>
      <c r="F88" s="2316"/>
      <c r="G88" s="2316"/>
      <c r="H88" s="2316"/>
      <c r="I88" s="2316"/>
      <c r="J88" s="2316"/>
      <c r="K88" s="2316"/>
      <c r="L88" s="2316"/>
      <c r="M88" s="2316"/>
      <c r="N88" s="2316"/>
      <c r="O88" s="2316"/>
      <c r="P88" s="2316"/>
      <c r="Q88" s="2316"/>
      <c r="R88" s="2316"/>
      <c r="S88" s="2316"/>
      <c r="T88" s="2316"/>
      <c r="U88" s="2316"/>
      <c r="V88" s="2316"/>
      <c r="W88" s="2316"/>
      <c r="X88" s="2316"/>
      <c r="Y88" s="2316"/>
      <c r="Z88" s="2316"/>
      <c r="AA88" s="2316"/>
      <c r="AB88" s="2316"/>
      <c r="AC88" s="2316"/>
      <c r="AD88" s="2316"/>
      <c r="AE88" s="2317"/>
      <c r="AF88" s="1584"/>
      <c r="AG88" s="1583"/>
      <c r="AH88" s="2318"/>
      <c r="AI88" s="2319"/>
    </row>
    <row r="89" spans="1:35" ht="61" thickBot="1">
      <c r="A89" s="1582" t="s">
        <v>2961</v>
      </c>
      <c r="B89" s="2167" t="s">
        <v>2960</v>
      </c>
      <c r="C89" s="2168"/>
      <c r="D89" s="2168"/>
      <c r="E89" s="2168"/>
      <c r="F89" s="2168"/>
      <c r="G89" s="2168"/>
      <c r="H89" s="2168"/>
      <c r="I89" s="2168"/>
      <c r="J89" s="2168"/>
      <c r="K89" s="2168"/>
      <c r="L89" s="2168"/>
      <c r="M89" s="2168"/>
      <c r="N89" s="2168"/>
      <c r="O89" s="2168"/>
      <c r="P89" s="2168"/>
      <c r="Q89" s="2168"/>
      <c r="R89" s="2168"/>
      <c r="S89" s="2168"/>
      <c r="T89" s="2168"/>
      <c r="U89" s="2168"/>
      <c r="V89" s="2168"/>
      <c r="W89" s="2168"/>
      <c r="X89" s="2168"/>
      <c r="Y89" s="2168"/>
      <c r="Z89" s="2168"/>
      <c r="AA89" s="2168"/>
      <c r="AB89" s="2168"/>
      <c r="AC89" s="2168"/>
      <c r="AD89" s="2168"/>
      <c r="AE89" s="2169"/>
      <c r="AF89" s="2324" t="s">
        <v>76</v>
      </c>
      <c r="AG89" s="2344" t="s">
        <v>2905</v>
      </c>
      <c r="AH89" s="2346" t="s">
        <v>2199</v>
      </c>
      <c r="AI89" s="2347"/>
    </row>
    <row r="90" spans="1:35" ht="15" thickTop="1" thickBot="1">
      <c r="A90" s="1547" t="s">
        <v>2904</v>
      </c>
      <c r="B90" s="2146" t="s">
        <v>2903</v>
      </c>
      <c r="C90" s="2147"/>
      <c r="D90" s="2147"/>
      <c r="E90" s="2147"/>
      <c r="F90" s="2148"/>
      <c r="G90" s="2149" t="s">
        <v>2959</v>
      </c>
      <c r="H90" s="2147"/>
      <c r="I90" s="2147"/>
      <c r="J90" s="2147"/>
      <c r="K90" s="2148"/>
      <c r="L90" s="2149" t="s">
        <v>2958</v>
      </c>
      <c r="M90" s="2147"/>
      <c r="N90" s="2147"/>
      <c r="O90" s="2147"/>
      <c r="P90" s="2148"/>
      <c r="Q90" s="2149" t="s">
        <v>2957</v>
      </c>
      <c r="R90" s="2147"/>
      <c r="S90" s="2147"/>
      <c r="T90" s="2147"/>
      <c r="U90" s="2148"/>
      <c r="V90" s="2149" t="s">
        <v>2956</v>
      </c>
      <c r="W90" s="2147"/>
      <c r="X90" s="2147"/>
      <c r="Y90" s="2147"/>
      <c r="Z90" s="2148"/>
      <c r="AA90" s="2149" t="s">
        <v>2955</v>
      </c>
      <c r="AB90" s="2147"/>
      <c r="AC90" s="2147"/>
      <c r="AD90" s="2147"/>
      <c r="AE90" s="2162"/>
      <c r="AF90" s="2325"/>
      <c r="AG90" s="2345"/>
      <c r="AH90" s="2348"/>
      <c r="AI90" s="2349"/>
    </row>
    <row r="91" spans="1:35" ht="27" customHeight="1" thickTop="1">
      <c r="A91" s="1581" t="s">
        <v>2954</v>
      </c>
      <c r="B91" s="2343"/>
      <c r="C91" s="2321"/>
      <c r="D91" s="2321"/>
      <c r="E91" s="2321"/>
      <c r="F91" s="2322"/>
      <c r="G91" s="2320">
        <v>3</v>
      </c>
      <c r="H91" s="2321"/>
      <c r="I91" s="2321"/>
      <c r="J91" s="2321"/>
      <c r="K91" s="2322"/>
      <c r="L91" s="2320">
        <v>30</v>
      </c>
      <c r="M91" s="2321"/>
      <c r="N91" s="2321"/>
      <c r="O91" s="2321"/>
      <c r="P91" s="2322"/>
      <c r="Q91" s="2320">
        <v>18</v>
      </c>
      <c r="R91" s="2321"/>
      <c r="S91" s="2321"/>
      <c r="T91" s="2321"/>
      <c r="U91" s="2322"/>
      <c r="V91" s="2320">
        <v>15</v>
      </c>
      <c r="W91" s="2321"/>
      <c r="X91" s="2321"/>
      <c r="Y91" s="2321"/>
      <c r="Z91" s="2322"/>
      <c r="AA91" s="2320">
        <v>26</v>
      </c>
      <c r="AB91" s="2321"/>
      <c r="AC91" s="2321"/>
      <c r="AD91" s="2321"/>
      <c r="AE91" s="2323"/>
      <c r="AF91" s="1580">
        <f>SUM(B91:AE91)</f>
        <v>92</v>
      </c>
      <c r="AG91" s="2332">
        <f>(V91+AA91+V92+AA92)/(AF91+AF92)</f>
        <v>0.41</v>
      </c>
      <c r="AH91" s="2334" t="s">
        <v>2953</v>
      </c>
      <c r="AI91" s="2335"/>
    </row>
    <row r="92" spans="1:35" ht="20.25" customHeight="1">
      <c r="A92" s="1570" t="s">
        <v>2952</v>
      </c>
      <c r="B92" s="2338"/>
      <c r="C92" s="2339"/>
      <c r="D92" s="2339"/>
      <c r="E92" s="2339"/>
      <c r="F92" s="2340"/>
      <c r="G92" s="2341">
        <v>2</v>
      </c>
      <c r="H92" s="2339"/>
      <c r="I92" s="2339"/>
      <c r="J92" s="2339"/>
      <c r="K92" s="2340"/>
      <c r="L92" s="2341">
        <v>6</v>
      </c>
      <c r="M92" s="2339"/>
      <c r="N92" s="2339"/>
      <c r="O92" s="2339"/>
      <c r="P92" s="2340"/>
      <c r="Q92" s="2341"/>
      <c r="R92" s="2339"/>
      <c r="S92" s="2339"/>
      <c r="T92" s="2339"/>
      <c r="U92" s="2340"/>
      <c r="V92" s="2341"/>
      <c r="W92" s="2339"/>
      <c r="X92" s="2339"/>
      <c r="Y92" s="2339"/>
      <c r="Z92" s="2340"/>
      <c r="AA92" s="2341"/>
      <c r="AB92" s="2339"/>
      <c r="AC92" s="2339"/>
      <c r="AD92" s="2339"/>
      <c r="AE92" s="2342"/>
      <c r="AF92" s="1579">
        <f>SUM(B92:AE92)</f>
        <v>8</v>
      </c>
      <c r="AG92" s="2333"/>
      <c r="AH92" s="2336"/>
      <c r="AI92" s="2337"/>
    </row>
    <row r="93" spans="1:35">
      <c r="A93" s="1571"/>
      <c r="B93" s="2310"/>
      <c r="C93" s="2311"/>
      <c r="D93" s="2311"/>
      <c r="E93" s="2311"/>
      <c r="F93" s="2312"/>
      <c r="G93" s="2313"/>
      <c r="H93" s="2311"/>
      <c r="I93" s="2311"/>
      <c r="J93" s="2311"/>
      <c r="K93" s="2312"/>
      <c r="L93" s="2313"/>
      <c r="M93" s="2311"/>
      <c r="N93" s="2311"/>
      <c r="O93" s="2311"/>
      <c r="P93" s="2312"/>
      <c r="Q93" s="2313"/>
      <c r="R93" s="2311"/>
      <c r="S93" s="2311"/>
      <c r="T93" s="2311"/>
      <c r="U93" s="2312"/>
      <c r="V93" s="2313"/>
      <c r="W93" s="2311"/>
      <c r="X93" s="2311"/>
      <c r="Y93" s="2311"/>
      <c r="Z93" s="2312"/>
      <c r="AA93" s="2313"/>
      <c r="AB93" s="2311"/>
      <c r="AC93" s="2311"/>
      <c r="AD93" s="2311"/>
      <c r="AE93" s="2314"/>
      <c r="AF93" s="1578"/>
      <c r="AG93" s="1577"/>
      <c r="AH93" s="2128"/>
      <c r="AI93" s="2129"/>
    </row>
    <row r="94" spans="1:35">
      <c r="A94" s="1541"/>
      <c r="B94" s="2130"/>
      <c r="C94" s="2131"/>
      <c r="D94" s="2131"/>
      <c r="E94" s="2131"/>
      <c r="F94" s="2132"/>
      <c r="G94" s="2133"/>
      <c r="H94" s="2131"/>
      <c r="I94" s="2131"/>
      <c r="J94" s="2131"/>
      <c r="K94" s="2132"/>
      <c r="L94" s="2133"/>
      <c r="M94" s="2131"/>
      <c r="N94" s="2131"/>
      <c r="O94" s="2131"/>
      <c r="P94" s="2132"/>
      <c r="Q94" s="2133"/>
      <c r="R94" s="2131"/>
      <c r="S94" s="2131"/>
      <c r="T94" s="2131"/>
      <c r="U94" s="2132"/>
      <c r="V94" s="2133"/>
      <c r="W94" s="2131"/>
      <c r="X94" s="2131"/>
      <c r="Y94" s="2131"/>
      <c r="Z94" s="2132"/>
      <c r="AA94" s="2133"/>
      <c r="AB94" s="2131"/>
      <c r="AC94" s="2131"/>
      <c r="AD94" s="2131"/>
      <c r="AE94" s="2134"/>
      <c r="AF94" s="1540">
        <f t="shared" ref="AF94:AF101" si="2">SUM(B94:AE94)</f>
        <v>0</v>
      </c>
      <c r="AG94" s="1539"/>
      <c r="AH94" s="2306"/>
      <c r="AI94" s="2307"/>
    </row>
    <row r="95" spans="1:35">
      <c r="A95" s="1538"/>
      <c r="B95" s="2137"/>
      <c r="C95" s="2126"/>
      <c r="D95" s="2126"/>
      <c r="E95" s="2126"/>
      <c r="F95" s="2138"/>
      <c r="G95" s="2125"/>
      <c r="H95" s="2126"/>
      <c r="I95" s="2126"/>
      <c r="J95" s="2126"/>
      <c r="K95" s="2138"/>
      <c r="L95" s="2125"/>
      <c r="M95" s="2126"/>
      <c r="N95" s="2126"/>
      <c r="O95" s="2126"/>
      <c r="P95" s="2138"/>
      <c r="Q95" s="2125"/>
      <c r="R95" s="2126"/>
      <c r="S95" s="2126"/>
      <c r="T95" s="2126"/>
      <c r="U95" s="2138"/>
      <c r="V95" s="2125"/>
      <c r="W95" s="2126"/>
      <c r="X95" s="2126"/>
      <c r="Y95" s="2126"/>
      <c r="Z95" s="2138"/>
      <c r="AA95" s="2125"/>
      <c r="AB95" s="2126"/>
      <c r="AC95" s="2126"/>
      <c r="AD95" s="2126"/>
      <c r="AE95" s="2127"/>
      <c r="AF95" s="1537">
        <f t="shared" si="2"/>
        <v>0</v>
      </c>
      <c r="AG95" s="1536"/>
      <c r="AH95" s="2128"/>
      <c r="AI95" s="2129"/>
    </row>
    <row r="96" spans="1:35">
      <c r="A96" s="1541"/>
      <c r="B96" s="2130"/>
      <c r="C96" s="2131"/>
      <c r="D96" s="2131"/>
      <c r="E96" s="2131"/>
      <c r="F96" s="2132"/>
      <c r="G96" s="2133"/>
      <c r="H96" s="2131"/>
      <c r="I96" s="2131"/>
      <c r="J96" s="2131"/>
      <c r="K96" s="2132"/>
      <c r="L96" s="2133"/>
      <c r="M96" s="2131"/>
      <c r="N96" s="2131"/>
      <c r="O96" s="2131"/>
      <c r="P96" s="2132"/>
      <c r="Q96" s="2133"/>
      <c r="R96" s="2131"/>
      <c r="S96" s="2131"/>
      <c r="T96" s="2131"/>
      <c r="U96" s="2132"/>
      <c r="V96" s="2133"/>
      <c r="W96" s="2131"/>
      <c r="X96" s="2131"/>
      <c r="Y96" s="2131"/>
      <c r="Z96" s="2132"/>
      <c r="AA96" s="2133"/>
      <c r="AB96" s="2131"/>
      <c r="AC96" s="2131"/>
      <c r="AD96" s="2131"/>
      <c r="AE96" s="2134"/>
      <c r="AF96" s="1540">
        <f t="shared" si="2"/>
        <v>0</v>
      </c>
      <c r="AG96" s="1539"/>
      <c r="AH96" s="2306"/>
      <c r="AI96" s="2307"/>
    </row>
    <row r="97" spans="1:35">
      <c r="A97" s="1538"/>
      <c r="B97" s="2137"/>
      <c r="C97" s="2126"/>
      <c r="D97" s="2126"/>
      <c r="E97" s="2126"/>
      <c r="F97" s="2138"/>
      <c r="G97" s="2125"/>
      <c r="H97" s="2126"/>
      <c r="I97" s="2126"/>
      <c r="J97" s="2126"/>
      <c r="K97" s="2138"/>
      <c r="L97" s="2125"/>
      <c r="M97" s="2126"/>
      <c r="N97" s="2126"/>
      <c r="O97" s="2126"/>
      <c r="P97" s="2138"/>
      <c r="Q97" s="2125"/>
      <c r="R97" s="2126"/>
      <c r="S97" s="2126"/>
      <c r="T97" s="2126"/>
      <c r="U97" s="2138"/>
      <c r="V97" s="2125"/>
      <c r="W97" s="2126"/>
      <c r="X97" s="2126"/>
      <c r="Y97" s="2126"/>
      <c r="Z97" s="2138"/>
      <c r="AA97" s="2125"/>
      <c r="AB97" s="2126"/>
      <c r="AC97" s="2126"/>
      <c r="AD97" s="2126"/>
      <c r="AE97" s="2127"/>
      <c r="AF97" s="1537">
        <f t="shared" si="2"/>
        <v>0</v>
      </c>
      <c r="AG97" s="1536"/>
      <c r="AH97" s="2128"/>
      <c r="AI97" s="2129"/>
    </row>
    <row r="98" spans="1:35">
      <c r="A98" s="1541"/>
      <c r="B98" s="2130"/>
      <c r="C98" s="2131"/>
      <c r="D98" s="2131"/>
      <c r="E98" s="2131"/>
      <c r="F98" s="2132"/>
      <c r="G98" s="2133"/>
      <c r="H98" s="2131"/>
      <c r="I98" s="2131"/>
      <c r="J98" s="2131"/>
      <c r="K98" s="2132"/>
      <c r="L98" s="2133"/>
      <c r="M98" s="2131"/>
      <c r="N98" s="2131"/>
      <c r="O98" s="2131"/>
      <c r="P98" s="2132"/>
      <c r="Q98" s="2133"/>
      <c r="R98" s="2131"/>
      <c r="S98" s="2131"/>
      <c r="T98" s="2131"/>
      <c r="U98" s="2132"/>
      <c r="V98" s="2133"/>
      <c r="W98" s="2131"/>
      <c r="X98" s="2131"/>
      <c r="Y98" s="2131"/>
      <c r="Z98" s="2132"/>
      <c r="AA98" s="2133"/>
      <c r="AB98" s="2131"/>
      <c r="AC98" s="2131"/>
      <c r="AD98" s="2131"/>
      <c r="AE98" s="2134"/>
      <c r="AF98" s="1540">
        <f t="shared" si="2"/>
        <v>0</v>
      </c>
      <c r="AG98" s="1539"/>
      <c r="AH98" s="2135"/>
      <c r="AI98" s="2136"/>
    </row>
    <row r="99" spans="1:35">
      <c r="A99" s="1538"/>
      <c r="B99" s="2137"/>
      <c r="C99" s="2126"/>
      <c r="D99" s="2126"/>
      <c r="E99" s="2126"/>
      <c r="F99" s="2138"/>
      <c r="G99" s="2125"/>
      <c r="H99" s="2126"/>
      <c r="I99" s="2126"/>
      <c r="J99" s="2126"/>
      <c r="K99" s="2138"/>
      <c r="L99" s="2125"/>
      <c r="M99" s="2126"/>
      <c r="N99" s="2126"/>
      <c r="O99" s="2126"/>
      <c r="P99" s="2138"/>
      <c r="Q99" s="2125"/>
      <c r="R99" s="2126"/>
      <c r="S99" s="2126"/>
      <c r="T99" s="2126"/>
      <c r="U99" s="2138"/>
      <c r="V99" s="2125"/>
      <c r="W99" s="2126"/>
      <c r="X99" s="2126"/>
      <c r="Y99" s="2126"/>
      <c r="Z99" s="2138"/>
      <c r="AA99" s="2125"/>
      <c r="AB99" s="2126"/>
      <c r="AC99" s="2126"/>
      <c r="AD99" s="2126"/>
      <c r="AE99" s="2127"/>
      <c r="AF99" s="1537">
        <f t="shared" si="2"/>
        <v>0</v>
      </c>
      <c r="AG99" s="1576"/>
      <c r="AH99" s="2308"/>
      <c r="AI99" s="2309"/>
    </row>
    <row r="100" spans="1:35">
      <c r="A100" s="1541"/>
      <c r="B100" s="2130"/>
      <c r="C100" s="2131"/>
      <c r="D100" s="2131"/>
      <c r="E100" s="2131"/>
      <c r="F100" s="2132"/>
      <c r="G100" s="2133"/>
      <c r="H100" s="2131"/>
      <c r="I100" s="2131"/>
      <c r="J100" s="2131"/>
      <c r="K100" s="2132"/>
      <c r="L100" s="2133"/>
      <c r="M100" s="2131"/>
      <c r="N100" s="2131"/>
      <c r="O100" s="2131"/>
      <c r="P100" s="2132"/>
      <c r="Q100" s="2133"/>
      <c r="R100" s="2131"/>
      <c r="S100" s="2131"/>
      <c r="T100" s="2131"/>
      <c r="U100" s="2132"/>
      <c r="V100" s="2133"/>
      <c r="W100" s="2131"/>
      <c r="X100" s="2131"/>
      <c r="Y100" s="2131"/>
      <c r="Z100" s="2132"/>
      <c r="AA100" s="2133"/>
      <c r="AB100" s="2131"/>
      <c r="AC100" s="2131"/>
      <c r="AD100" s="2131"/>
      <c r="AE100" s="2134"/>
      <c r="AF100" s="1540">
        <f t="shared" si="2"/>
        <v>0</v>
      </c>
      <c r="AG100" s="1539"/>
      <c r="AH100" s="2306"/>
      <c r="AI100" s="2307"/>
    </row>
    <row r="101" spans="1:35">
      <c r="A101" s="1538"/>
      <c r="B101" s="2137"/>
      <c r="C101" s="2126"/>
      <c r="D101" s="2126"/>
      <c r="E101" s="2126"/>
      <c r="F101" s="2138"/>
      <c r="G101" s="2125"/>
      <c r="H101" s="2126"/>
      <c r="I101" s="2126"/>
      <c r="J101" s="2126"/>
      <c r="K101" s="2138"/>
      <c r="L101" s="2125"/>
      <c r="M101" s="2126"/>
      <c r="N101" s="2126"/>
      <c r="O101" s="2126"/>
      <c r="P101" s="2138"/>
      <c r="Q101" s="2125"/>
      <c r="R101" s="2126"/>
      <c r="S101" s="2126"/>
      <c r="T101" s="2126"/>
      <c r="U101" s="2138"/>
      <c r="V101" s="2125"/>
      <c r="W101" s="2126"/>
      <c r="X101" s="2126"/>
      <c r="Y101" s="2126"/>
      <c r="Z101" s="2138"/>
      <c r="AA101" s="2125"/>
      <c r="AB101" s="2126"/>
      <c r="AC101" s="2126"/>
      <c r="AD101" s="2126"/>
      <c r="AE101" s="2127"/>
      <c r="AF101" s="1537">
        <f t="shared" si="2"/>
        <v>0</v>
      </c>
      <c r="AG101" s="1536"/>
      <c r="AH101" s="2128"/>
      <c r="AI101" s="2129"/>
    </row>
    <row r="102" spans="1:35">
      <c r="A102" s="1541"/>
      <c r="B102" s="2130"/>
      <c r="C102" s="2131"/>
      <c r="D102" s="2131"/>
      <c r="E102" s="2131"/>
      <c r="F102" s="2132"/>
      <c r="G102" s="2133"/>
      <c r="H102" s="2131"/>
      <c r="I102" s="2131"/>
      <c r="J102" s="2131"/>
      <c r="K102" s="2132"/>
      <c r="L102" s="2133"/>
      <c r="M102" s="2131"/>
      <c r="N102" s="2131"/>
      <c r="O102" s="2131"/>
      <c r="P102" s="2132"/>
      <c r="Q102" s="2133"/>
      <c r="R102" s="2131"/>
      <c r="S102" s="2131"/>
      <c r="T102" s="2131"/>
      <c r="U102" s="2132"/>
      <c r="V102" s="2133"/>
      <c r="W102" s="2131"/>
      <c r="X102" s="2131"/>
      <c r="Y102" s="2131"/>
      <c r="Z102" s="2132"/>
      <c r="AA102" s="2133"/>
      <c r="AB102" s="2131"/>
      <c r="AC102" s="2131"/>
      <c r="AD102" s="2131"/>
      <c r="AE102" s="2134"/>
      <c r="AF102" s="1540"/>
      <c r="AG102" s="1575"/>
      <c r="AH102" s="2306"/>
      <c r="AI102" s="2307"/>
    </row>
    <row r="103" spans="1:35">
      <c r="A103" s="1533"/>
      <c r="B103" s="2119"/>
      <c r="C103" s="2115"/>
      <c r="D103" s="2115"/>
      <c r="E103" s="2115"/>
      <c r="F103" s="2120"/>
      <c r="G103" s="2114"/>
      <c r="H103" s="2115"/>
      <c r="I103" s="2115"/>
      <c r="J103" s="2115"/>
      <c r="K103" s="2120"/>
      <c r="L103" s="2114"/>
      <c r="M103" s="2115"/>
      <c r="N103" s="2115"/>
      <c r="O103" s="2115"/>
      <c r="P103" s="2120"/>
      <c r="Q103" s="2114"/>
      <c r="R103" s="2115"/>
      <c r="S103" s="2115"/>
      <c r="T103" s="2115"/>
      <c r="U103" s="2120"/>
      <c r="V103" s="2114"/>
      <c r="W103" s="2115"/>
      <c r="X103" s="2115"/>
      <c r="Y103" s="2115"/>
      <c r="Z103" s="2120"/>
      <c r="AA103" s="2114"/>
      <c r="AB103" s="2115"/>
      <c r="AC103" s="2115"/>
      <c r="AD103" s="2115"/>
      <c r="AE103" s="2116"/>
      <c r="AF103" s="1532">
        <f>SUM(B103:AE103)</f>
        <v>0</v>
      </c>
      <c r="AG103" s="1482"/>
      <c r="AH103" s="2117"/>
      <c r="AI103" s="2118"/>
    </row>
    <row r="104" spans="1:35">
      <c r="A104" s="1490"/>
      <c r="B104" s="2113"/>
      <c r="C104" s="2101"/>
      <c r="D104" s="2101"/>
      <c r="E104" s="2101"/>
      <c r="F104" s="2102"/>
      <c r="G104" s="2100"/>
      <c r="H104" s="2101"/>
      <c r="I104" s="2101"/>
      <c r="J104" s="2101"/>
      <c r="K104" s="2102"/>
      <c r="L104" s="2100"/>
      <c r="M104" s="2101"/>
      <c r="N104" s="2101"/>
      <c r="O104" s="2101"/>
      <c r="P104" s="2102"/>
      <c r="Q104" s="2100"/>
      <c r="R104" s="2101"/>
      <c r="S104" s="2101"/>
      <c r="T104" s="2101"/>
      <c r="U104" s="2102"/>
      <c r="V104" s="2100"/>
      <c r="W104" s="2101"/>
      <c r="X104" s="2101"/>
      <c r="Y104" s="2101"/>
      <c r="Z104" s="2102"/>
      <c r="AA104" s="2100"/>
      <c r="AB104" s="2101"/>
      <c r="AC104" s="2101"/>
      <c r="AD104" s="2101"/>
      <c r="AE104" s="2103"/>
      <c r="AF104" s="1531">
        <f>SUM(B104:AE104)</f>
        <v>0</v>
      </c>
      <c r="AG104" s="1485"/>
      <c r="AH104" s="2111"/>
      <c r="AI104" s="2112"/>
    </row>
    <row r="105" spans="1:35">
      <c r="A105" s="1533"/>
      <c r="B105" s="2119"/>
      <c r="C105" s="2115"/>
      <c r="D105" s="2115"/>
      <c r="E105" s="2115"/>
      <c r="F105" s="2120"/>
      <c r="G105" s="2114"/>
      <c r="H105" s="2115"/>
      <c r="I105" s="2115"/>
      <c r="J105" s="2115"/>
      <c r="K105" s="2120"/>
      <c r="L105" s="2114"/>
      <c r="M105" s="2115"/>
      <c r="N105" s="2115"/>
      <c r="O105" s="2115"/>
      <c r="P105" s="2120"/>
      <c r="Q105" s="2114"/>
      <c r="R105" s="2115"/>
      <c r="S105" s="2115"/>
      <c r="T105" s="2115"/>
      <c r="U105" s="2120"/>
      <c r="V105" s="2114"/>
      <c r="W105" s="2115"/>
      <c r="X105" s="2115"/>
      <c r="Y105" s="2115"/>
      <c r="Z105" s="2120"/>
      <c r="AA105" s="2114"/>
      <c r="AB105" s="2115"/>
      <c r="AC105" s="2115"/>
      <c r="AD105" s="2115"/>
      <c r="AE105" s="2116"/>
      <c r="AF105" s="1532">
        <f>SUM(B105:AE105)</f>
        <v>0</v>
      </c>
      <c r="AG105" s="1482"/>
      <c r="AH105" s="2117"/>
      <c r="AI105" s="2118"/>
    </row>
    <row r="106" spans="1:35">
      <c r="A106" s="1490"/>
      <c r="B106" s="2113"/>
      <c r="C106" s="2101"/>
      <c r="D106" s="2101"/>
      <c r="E106" s="2101"/>
      <c r="F106" s="2102"/>
      <c r="G106" s="2100"/>
      <c r="H106" s="2101"/>
      <c r="I106" s="2101"/>
      <c r="J106" s="2101"/>
      <c r="K106" s="2102"/>
      <c r="L106" s="2100"/>
      <c r="M106" s="2101"/>
      <c r="N106" s="2101"/>
      <c r="O106" s="2101"/>
      <c r="P106" s="2102"/>
      <c r="Q106" s="2100"/>
      <c r="R106" s="2101"/>
      <c r="S106" s="2101"/>
      <c r="T106" s="2101"/>
      <c r="U106" s="2102"/>
      <c r="V106" s="2100"/>
      <c r="W106" s="2101"/>
      <c r="X106" s="2101"/>
      <c r="Y106" s="2101"/>
      <c r="Z106" s="2102"/>
      <c r="AA106" s="2100"/>
      <c r="AB106" s="2101"/>
      <c r="AC106" s="2101"/>
      <c r="AD106" s="2101"/>
      <c r="AE106" s="2103"/>
      <c r="AF106" s="1531">
        <f>SUM(B106:AE106)</f>
        <v>0</v>
      </c>
      <c r="AG106" s="1485"/>
      <c r="AH106" s="2111"/>
      <c r="AI106" s="2112"/>
    </row>
    <row r="107" spans="1:35" ht="14" thickBot="1">
      <c r="A107" s="1530"/>
      <c r="B107" s="2300"/>
      <c r="C107" s="2286"/>
      <c r="D107" s="2286"/>
      <c r="E107" s="2286"/>
      <c r="F107" s="2287"/>
      <c r="G107" s="2285"/>
      <c r="H107" s="2286"/>
      <c r="I107" s="2286"/>
      <c r="J107" s="2286"/>
      <c r="K107" s="2287"/>
      <c r="L107" s="2285"/>
      <c r="M107" s="2286"/>
      <c r="N107" s="2286"/>
      <c r="O107" s="2286"/>
      <c r="P107" s="2287"/>
      <c r="Q107" s="2285"/>
      <c r="R107" s="2286"/>
      <c r="S107" s="2286"/>
      <c r="T107" s="2286"/>
      <c r="U107" s="2287"/>
      <c r="V107" s="2285"/>
      <c r="W107" s="2286"/>
      <c r="X107" s="2286"/>
      <c r="Y107" s="2286"/>
      <c r="Z107" s="2287"/>
      <c r="AA107" s="2285"/>
      <c r="AB107" s="2286"/>
      <c r="AC107" s="2286"/>
      <c r="AD107" s="2286"/>
      <c r="AE107" s="2288"/>
      <c r="AF107" s="1529">
        <f>SUM(B107:AE107)</f>
        <v>0</v>
      </c>
      <c r="AG107" s="1528"/>
      <c r="AH107" s="2297"/>
      <c r="AI107" s="2298"/>
    </row>
    <row r="108" spans="1:35" ht="18" customHeight="1">
      <c r="A108" s="2094" t="s">
        <v>2951</v>
      </c>
      <c r="B108" s="2095"/>
      <c r="C108" s="2095"/>
      <c r="D108" s="2095"/>
      <c r="E108" s="2095"/>
      <c r="F108" s="2095"/>
      <c r="G108" s="2095"/>
      <c r="H108" s="2095"/>
      <c r="I108" s="2095"/>
      <c r="J108" s="2095"/>
      <c r="K108" s="2095"/>
      <c r="L108" s="2095"/>
      <c r="M108" s="2095"/>
      <c r="N108" s="2095"/>
      <c r="O108" s="2095"/>
      <c r="P108" s="2095"/>
      <c r="Q108" s="2095"/>
      <c r="R108" s="2095"/>
      <c r="S108" s="2095"/>
      <c r="T108" s="2095"/>
      <c r="U108" s="2095"/>
      <c r="V108" s="2095"/>
      <c r="W108" s="2095"/>
      <c r="X108" s="2095"/>
      <c r="Y108" s="2095"/>
      <c r="Z108" s="2095"/>
      <c r="AA108" s="2095"/>
      <c r="AB108" s="2095"/>
      <c r="AC108" s="2095"/>
      <c r="AD108" s="2095"/>
      <c r="AE108" s="2095"/>
      <c r="AF108" s="2095"/>
      <c r="AG108" s="2095"/>
      <c r="AH108" s="2095"/>
      <c r="AI108" s="2096"/>
    </row>
    <row r="109" spans="1:35">
      <c r="A109" s="2097" t="s">
        <v>2950</v>
      </c>
      <c r="B109" s="2098"/>
      <c r="C109" s="2098"/>
      <c r="D109" s="2098" t="s">
        <v>2949</v>
      </c>
      <c r="E109" s="2098"/>
      <c r="F109" s="2098"/>
      <c r="G109" s="2098"/>
      <c r="H109" s="2098"/>
      <c r="I109" s="2098"/>
      <c r="J109" s="2098"/>
      <c r="K109" s="2299" t="s">
        <v>2948</v>
      </c>
      <c r="L109" s="2098"/>
      <c r="M109" s="2098"/>
      <c r="N109" s="2098"/>
      <c r="O109" s="2098"/>
      <c r="P109" s="2098"/>
      <c r="Q109" s="2098"/>
      <c r="R109" s="2098"/>
      <c r="S109" s="2098"/>
      <c r="T109" s="2098"/>
      <c r="U109" s="2098"/>
      <c r="V109" s="2098"/>
      <c r="W109" s="2098"/>
      <c r="X109" s="2098" t="s">
        <v>2893</v>
      </c>
      <c r="Y109" s="2098"/>
      <c r="Z109" s="2098"/>
      <c r="AA109" s="2098"/>
      <c r="AB109" s="2098"/>
      <c r="AC109" s="2098"/>
      <c r="AD109" s="2098"/>
      <c r="AE109" s="2098"/>
      <c r="AF109" s="2098"/>
      <c r="AG109" s="2098" t="s">
        <v>2947</v>
      </c>
      <c r="AH109" s="2098"/>
      <c r="AI109" s="2099"/>
    </row>
    <row r="110" spans="1:35" ht="14" thickBot="1">
      <c r="A110" s="2104" t="s">
        <v>2946</v>
      </c>
      <c r="B110" s="2105"/>
      <c r="C110" s="2165" t="s">
        <v>2945</v>
      </c>
      <c r="D110" s="2165"/>
      <c r="E110" s="2165"/>
      <c r="F110" s="2165"/>
      <c r="G110" s="2165"/>
      <c r="H110" s="2165"/>
      <c r="I110" s="2165"/>
      <c r="J110" s="2165"/>
      <c r="K110" s="2165"/>
      <c r="L110" s="2165"/>
      <c r="M110" s="2165"/>
      <c r="N110" s="2165"/>
      <c r="O110" s="2165"/>
      <c r="P110" s="2165"/>
      <c r="Q110" s="2165"/>
      <c r="R110" s="2165"/>
      <c r="S110" s="2165"/>
      <c r="T110" s="2172"/>
      <c r="U110" s="2173"/>
      <c r="V110" s="2173"/>
      <c r="W110" s="2108"/>
      <c r="X110" s="2108"/>
      <c r="Y110" s="2109"/>
      <c r="Z110" s="2301" t="s">
        <v>2887</v>
      </c>
      <c r="AA110" s="2301"/>
      <c r="AB110" s="2301"/>
      <c r="AC110" s="2301"/>
      <c r="AD110" s="2301"/>
      <c r="AE110" s="2301"/>
      <c r="AF110" s="2301"/>
      <c r="AG110" s="2301"/>
      <c r="AH110" s="2301"/>
      <c r="AI110" s="2302"/>
    </row>
    <row r="111" spans="1:35" ht="14" thickBot="1">
      <c r="A111" s="2303" t="s">
        <v>2944</v>
      </c>
      <c r="B111" s="2304"/>
      <c r="C111" s="2304"/>
      <c r="D111" s="2304"/>
      <c r="E111" s="2304"/>
      <c r="F111" s="2304"/>
      <c r="G111" s="2304"/>
      <c r="H111" s="2304"/>
      <c r="I111" s="2304"/>
      <c r="J111" s="2304"/>
      <c r="K111" s="2304"/>
      <c r="L111" s="2304"/>
      <c r="M111" s="2304"/>
      <c r="N111" s="2304"/>
      <c r="O111" s="2304"/>
      <c r="P111" s="2304"/>
      <c r="Q111" s="2304"/>
      <c r="R111" s="2304"/>
      <c r="S111" s="2304"/>
      <c r="T111" s="2304"/>
      <c r="U111" s="2304"/>
      <c r="V111" s="2304"/>
      <c r="W111" s="2304"/>
      <c r="X111" s="2304"/>
      <c r="Y111" s="2304"/>
      <c r="Z111" s="2304"/>
      <c r="AA111" s="2304"/>
      <c r="AB111" s="2304"/>
      <c r="AC111" s="2304"/>
      <c r="AD111" s="2304"/>
      <c r="AE111" s="2304"/>
      <c r="AF111" s="2304"/>
      <c r="AG111" s="2304"/>
      <c r="AH111" s="2304"/>
      <c r="AI111" s="2305"/>
    </row>
    <row r="112" spans="1:35" ht="15" thickTop="1" thickBot="1">
      <c r="A112" s="1574"/>
      <c r="B112" s="2289" t="s">
        <v>2943</v>
      </c>
      <c r="C112" s="2290"/>
      <c r="D112" s="2290"/>
      <c r="E112" s="2290"/>
      <c r="F112" s="2290"/>
      <c r="G112" s="2290"/>
      <c r="H112" s="2290"/>
      <c r="I112" s="2290"/>
      <c r="J112" s="2290"/>
      <c r="K112" s="2290"/>
      <c r="L112" s="2290"/>
      <c r="M112" s="2290"/>
      <c r="N112" s="2291" t="s">
        <v>2942</v>
      </c>
      <c r="O112" s="2292"/>
      <c r="P112" s="2292"/>
      <c r="Q112" s="2292"/>
      <c r="R112" s="2292"/>
      <c r="S112" s="2292"/>
      <c r="T112" s="2292"/>
      <c r="U112" s="2292"/>
      <c r="V112" s="2292"/>
      <c r="W112" s="2292"/>
      <c r="X112" s="2292"/>
      <c r="Y112" s="2293"/>
      <c r="Z112" s="2294"/>
      <c r="AA112" s="2295"/>
      <c r="AB112" s="2295"/>
      <c r="AC112" s="2295"/>
      <c r="AD112" s="2295"/>
      <c r="AE112" s="2295"/>
      <c r="AF112" s="2295"/>
      <c r="AG112" s="2295"/>
      <c r="AH112" s="2295"/>
      <c r="AI112" s="2296"/>
    </row>
    <row r="113" spans="1:35" ht="58" thickTop="1" thickBot="1">
      <c r="A113" s="1573" t="s">
        <v>2941</v>
      </c>
      <c r="B113" s="2276" t="s">
        <v>2940</v>
      </c>
      <c r="C113" s="2277"/>
      <c r="D113" s="2277"/>
      <c r="E113" s="2278"/>
      <c r="F113" s="2276" t="s">
        <v>2939</v>
      </c>
      <c r="G113" s="2277"/>
      <c r="H113" s="2277"/>
      <c r="I113" s="2278"/>
      <c r="J113" s="2276" t="s">
        <v>2938</v>
      </c>
      <c r="K113" s="2277"/>
      <c r="L113" s="2277"/>
      <c r="M113" s="2277"/>
      <c r="N113" s="2279" t="s">
        <v>2940</v>
      </c>
      <c r="O113" s="2280"/>
      <c r="P113" s="2280"/>
      <c r="Q113" s="2281"/>
      <c r="R113" s="2282" t="s">
        <v>2939</v>
      </c>
      <c r="S113" s="2280"/>
      <c r="T113" s="2280"/>
      <c r="U113" s="2281"/>
      <c r="V113" s="2282" t="s">
        <v>2938</v>
      </c>
      <c r="W113" s="2280"/>
      <c r="X113" s="2280"/>
      <c r="Y113" s="2283"/>
      <c r="Z113" s="2146" t="s">
        <v>2199</v>
      </c>
      <c r="AA113" s="2147"/>
      <c r="AB113" s="2147"/>
      <c r="AC113" s="2147"/>
      <c r="AD113" s="2147"/>
      <c r="AE113" s="2147"/>
      <c r="AF113" s="2147"/>
      <c r="AG113" s="2147"/>
      <c r="AH113" s="2147"/>
      <c r="AI113" s="2162"/>
    </row>
    <row r="114" spans="1:35" ht="14" thickTop="1">
      <c r="A114" s="1572" t="s">
        <v>731</v>
      </c>
      <c r="B114" s="2265">
        <v>11</v>
      </c>
      <c r="C114" s="2266"/>
      <c r="D114" s="2266"/>
      <c r="E114" s="2267"/>
      <c r="F114" s="2265">
        <v>20.100000000000001</v>
      </c>
      <c r="G114" s="2266"/>
      <c r="H114" s="2266"/>
      <c r="I114" s="2267"/>
      <c r="J114" s="2265">
        <f t="shared" ref="J114:J140" si="3">F114-B114</f>
        <v>9.1000000000000014</v>
      </c>
      <c r="K114" s="2266"/>
      <c r="L114" s="2266"/>
      <c r="M114" s="2268"/>
      <c r="N114" s="2269">
        <v>10</v>
      </c>
      <c r="O114" s="2266"/>
      <c r="P114" s="2266"/>
      <c r="Q114" s="2267"/>
      <c r="R114" s="2265">
        <v>20.6</v>
      </c>
      <c r="S114" s="2266"/>
      <c r="T114" s="2266"/>
      <c r="U114" s="2267"/>
      <c r="V114" s="2265">
        <f t="shared" ref="V114:V140" si="4">R114-N114</f>
        <v>10.600000000000001</v>
      </c>
      <c r="W114" s="2266"/>
      <c r="X114" s="2266"/>
      <c r="Y114" s="2284"/>
      <c r="Z114" s="2270" t="s">
        <v>2937</v>
      </c>
      <c r="AA114" s="2271"/>
      <c r="AB114" s="2271"/>
      <c r="AC114" s="2271"/>
      <c r="AD114" s="2271"/>
      <c r="AE114" s="2271"/>
      <c r="AF114" s="2271"/>
      <c r="AG114" s="2271"/>
      <c r="AH114" s="2271"/>
      <c r="AI114" s="2272"/>
    </row>
    <row r="115" spans="1:35">
      <c r="A115" s="1571"/>
      <c r="B115" s="2255">
        <v>22.1</v>
      </c>
      <c r="C115" s="2256"/>
      <c r="D115" s="2256"/>
      <c r="E115" s="2257"/>
      <c r="F115" s="2255">
        <v>25.3</v>
      </c>
      <c r="G115" s="2256"/>
      <c r="H115" s="2256"/>
      <c r="I115" s="2257"/>
      <c r="J115" s="2255">
        <f t="shared" si="3"/>
        <v>3.1999999999999993</v>
      </c>
      <c r="K115" s="2256"/>
      <c r="L115" s="2256"/>
      <c r="M115" s="2258"/>
      <c r="N115" s="2259">
        <v>32.299999999999997</v>
      </c>
      <c r="O115" s="2256"/>
      <c r="P115" s="2256"/>
      <c r="Q115" s="2257"/>
      <c r="R115" s="2255">
        <v>38.9</v>
      </c>
      <c r="S115" s="2256"/>
      <c r="T115" s="2256"/>
      <c r="U115" s="2257"/>
      <c r="V115" s="2255">
        <f t="shared" si="4"/>
        <v>6.6000000000000014</v>
      </c>
      <c r="W115" s="2256"/>
      <c r="X115" s="2256"/>
      <c r="Y115" s="2260"/>
      <c r="Z115" s="2273"/>
      <c r="AA115" s="2274"/>
      <c r="AB115" s="2274"/>
      <c r="AC115" s="2274"/>
      <c r="AD115" s="2274"/>
      <c r="AE115" s="2274"/>
      <c r="AF115" s="2274"/>
      <c r="AG115" s="2274"/>
      <c r="AH115" s="2274"/>
      <c r="AI115" s="2275"/>
    </row>
    <row r="116" spans="1:35">
      <c r="A116" s="1570"/>
      <c r="B116" s="2223">
        <v>26</v>
      </c>
      <c r="C116" s="2224"/>
      <c r="D116" s="2224"/>
      <c r="E116" s="2261"/>
      <c r="F116" s="2223">
        <v>27.1</v>
      </c>
      <c r="G116" s="2224"/>
      <c r="H116" s="2224"/>
      <c r="I116" s="2261"/>
      <c r="J116" s="2223">
        <f t="shared" si="3"/>
        <v>1.1000000000000014</v>
      </c>
      <c r="K116" s="2224"/>
      <c r="L116" s="2224"/>
      <c r="M116" s="2262"/>
      <c r="N116" s="2263">
        <v>40.1</v>
      </c>
      <c r="O116" s="2224"/>
      <c r="P116" s="2224"/>
      <c r="Q116" s="2261"/>
      <c r="R116" s="2223">
        <v>44</v>
      </c>
      <c r="S116" s="2224"/>
      <c r="T116" s="2224"/>
      <c r="U116" s="2261"/>
      <c r="V116" s="2223">
        <f t="shared" si="4"/>
        <v>3.8999999999999986</v>
      </c>
      <c r="W116" s="2224"/>
      <c r="X116" s="2224"/>
      <c r="Y116" s="2264"/>
      <c r="Z116" s="2273"/>
      <c r="AA116" s="2274"/>
      <c r="AB116" s="2274"/>
      <c r="AC116" s="2274"/>
      <c r="AD116" s="2274"/>
      <c r="AE116" s="2274"/>
      <c r="AF116" s="2274"/>
      <c r="AG116" s="2274"/>
      <c r="AH116" s="2274"/>
      <c r="AI116" s="2275"/>
    </row>
    <row r="117" spans="1:35">
      <c r="A117" s="1571"/>
      <c r="B117" s="2255">
        <v>29.8</v>
      </c>
      <c r="C117" s="2256"/>
      <c r="D117" s="2256"/>
      <c r="E117" s="2257"/>
      <c r="F117" s="2255">
        <v>31.8</v>
      </c>
      <c r="G117" s="2256"/>
      <c r="H117" s="2256"/>
      <c r="I117" s="2257"/>
      <c r="J117" s="2255">
        <f t="shared" si="3"/>
        <v>2</v>
      </c>
      <c r="K117" s="2256"/>
      <c r="L117" s="2256"/>
      <c r="M117" s="2258"/>
      <c r="N117" s="2259">
        <v>46</v>
      </c>
      <c r="O117" s="2256"/>
      <c r="P117" s="2256"/>
      <c r="Q117" s="2257"/>
      <c r="R117" s="2255">
        <v>47.2</v>
      </c>
      <c r="S117" s="2256"/>
      <c r="T117" s="2256"/>
      <c r="U117" s="2257"/>
      <c r="V117" s="2255">
        <f t="shared" si="4"/>
        <v>1.2000000000000028</v>
      </c>
      <c r="W117" s="2256"/>
      <c r="X117" s="2256"/>
      <c r="Y117" s="2260"/>
      <c r="Z117" s="2273"/>
      <c r="AA117" s="2274"/>
      <c r="AB117" s="2274"/>
      <c r="AC117" s="2274"/>
      <c r="AD117" s="2274"/>
      <c r="AE117" s="2274"/>
      <c r="AF117" s="2274"/>
      <c r="AG117" s="2274"/>
      <c r="AH117" s="2274"/>
      <c r="AI117" s="2275"/>
    </row>
    <row r="118" spans="1:35">
      <c r="A118" s="1570"/>
      <c r="B118" s="2223">
        <v>36.5</v>
      </c>
      <c r="C118" s="2224"/>
      <c r="D118" s="2224"/>
      <c r="E118" s="2261"/>
      <c r="F118" s="2223">
        <v>42.5</v>
      </c>
      <c r="G118" s="2224"/>
      <c r="H118" s="2224"/>
      <c r="I118" s="2261"/>
      <c r="J118" s="2223">
        <f t="shared" si="3"/>
        <v>6</v>
      </c>
      <c r="K118" s="2224"/>
      <c r="L118" s="2224"/>
      <c r="M118" s="2262"/>
      <c r="N118" s="2263">
        <v>48.7</v>
      </c>
      <c r="O118" s="2224"/>
      <c r="P118" s="2224"/>
      <c r="Q118" s="2261"/>
      <c r="R118" s="2223">
        <v>49.7</v>
      </c>
      <c r="S118" s="2224"/>
      <c r="T118" s="2224"/>
      <c r="U118" s="2261"/>
      <c r="V118" s="2223">
        <f t="shared" si="4"/>
        <v>1</v>
      </c>
      <c r="W118" s="2224"/>
      <c r="X118" s="2224"/>
      <c r="Y118" s="2264"/>
      <c r="Z118" s="2273"/>
      <c r="AA118" s="2274"/>
      <c r="AB118" s="2274"/>
      <c r="AC118" s="2274"/>
      <c r="AD118" s="2274"/>
      <c r="AE118" s="2274"/>
      <c r="AF118" s="2274"/>
      <c r="AG118" s="2274"/>
      <c r="AH118" s="2274"/>
      <c r="AI118" s="2275"/>
    </row>
    <row r="119" spans="1:35">
      <c r="A119" s="1571"/>
      <c r="B119" s="2255">
        <v>46.2</v>
      </c>
      <c r="C119" s="2256"/>
      <c r="D119" s="2256"/>
      <c r="E119" s="2257"/>
      <c r="F119" s="2255">
        <v>47.8</v>
      </c>
      <c r="G119" s="2256"/>
      <c r="H119" s="2256"/>
      <c r="I119" s="2257"/>
      <c r="J119" s="2255">
        <f t="shared" si="3"/>
        <v>1.5999999999999943</v>
      </c>
      <c r="K119" s="2256"/>
      <c r="L119" s="2256"/>
      <c r="M119" s="2258"/>
      <c r="N119" s="2259">
        <v>56.8</v>
      </c>
      <c r="O119" s="2256"/>
      <c r="P119" s="2256"/>
      <c r="Q119" s="2257"/>
      <c r="R119" s="2255">
        <v>58</v>
      </c>
      <c r="S119" s="2256"/>
      <c r="T119" s="2256"/>
      <c r="U119" s="2257"/>
      <c r="V119" s="2255">
        <f t="shared" si="4"/>
        <v>1.2000000000000028</v>
      </c>
      <c r="W119" s="2256"/>
      <c r="X119" s="2256"/>
      <c r="Y119" s="2260"/>
      <c r="Z119" s="2273"/>
      <c r="AA119" s="2274"/>
      <c r="AB119" s="2274"/>
      <c r="AC119" s="2274"/>
      <c r="AD119" s="2274"/>
      <c r="AE119" s="2274"/>
      <c r="AF119" s="2274"/>
      <c r="AG119" s="2274"/>
      <c r="AH119" s="2274"/>
      <c r="AI119" s="2275"/>
    </row>
    <row r="120" spans="1:35">
      <c r="A120" s="1570"/>
      <c r="B120" s="2223">
        <v>53</v>
      </c>
      <c r="C120" s="2224"/>
      <c r="D120" s="2224"/>
      <c r="E120" s="2261"/>
      <c r="F120" s="2223">
        <v>59.9</v>
      </c>
      <c r="G120" s="2224"/>
      <c r="H120" s="2224"/>
      <c r="I120" s="2261"/>
      <c r="J120" s="2223">
        <f t="shared" si="3"/>
        <v>6.8999999999999986</v>
      </c>
      <c r="K120" s="2224"/>
      <c r="L120" s="2224"/>
      <c r="M120" s="2262"/>
      <c r="N120" s="2263">
        <v>59.5</v>
      </c>
      <c r="O120" s="2224"/>
      <c r="P120" s="2224"/>
      <c r="Q120" s="2261"/>
      <c r="R120" s="2223">
        <v>62.4</v>
      </c>
      <c r="S120" s="2224"/>
      <c r="T120" s="2224"/>
      <c r="U120" s="2261"/>
      <c r="V120" s="2223">
        <f t="shared" si="4"/>
        <v>2.8999999999999986</v>
      </c>
      <c r="W120" s="2224"/>
      <c r="X120" s="2224"/>
      <c r="Y120" s="2264"/>
      <c r="Z120" s="2273"/>
      <c r="AA120" s="2274"/>
      <c r="AB120" s="2274"/>
      <c r="AC120" s="2274"/>
      <c r="AD120" s="2274"/>
      <c r="AE120" s="2274"/>
      <c r="AF120" s="2274"/>
      <c r="AG120" s="2274"/>
      <c r="AH120" s="2274"/>
      <c r="AI120" s="2275"/>
    </row>
    <row r="121" spans="1:35">
      <c r="A121" s="1571"/>
      <c r="B121" s="2255">
        <v>60.9</v>
      </c>
      <c r="C121" s="2256"/>
      <c r="D121" s="2256"/>
      <c r="E121" s="2257"/>
      <c r="F121" s="2255">
        <v>65.400000000000006</v>
      </c>
      <c r="G121" s="2256"/>
      <c r="H121" s="2256"/>
      <c r="I121" s="2257"/>
      <c r="J121" s="2255">
        <f t="shared" si="3"/>
        <v>4.5000000000000071</v>
      </c>
      <c r="K121" s="2256"/>
      <c r="L121" s="2256"/>
      <c r="M121" s="2258"/>
      <c r="N121" s="2259">
        <v>63.7</v>
      </c>
      <c r="O121" s="2256"/>
      <c r="P121" s="2256"/>
      <c r="Q121" s="2257"/>
      <c r="R121" s="2255">
        <v>65.2</v>
      </c>
      <c r="S121" s="2256"/>
      <c r="T121" s="2256"/>
      <c r="U121" s="2257"/>
      <c r="V121" s="2255">
        <f t="shared" si="4"/>
        <v>1.5</v>
      </c>
      <c r="W121" s="2256"/>
      <c r="X121" s="2256"/>
      <c r="Y121" s="2260"/>
      <c r="Z121" s="2273"/>
      <c r="AA121" s="2274"/>
      <c r="AB121" s="2274"/>
      <c r="AC121" s="2274"/>
      <c r="AD121" s="2274"/>
      <c r="AE121" s="2274"/>
      <c r="AF121" s="2274"/>
      <c r="AG121" s="2274"/>
      <c r="AH121" s="2274"/>
      <c r="AI121" s="2275"/>
    </row>
    <row r="122" spans="1:35">
      <c r="A122" s="1570"/>
      <c r="B122" s="2223">
        <v>67</v>
      </c>
      <c r="C122" s="2224"/>
      <c r="D122" s="2224"/>
      <c r="E122" s="2261"/>
      <c r="F122" s="2223">
        <v>93.1</v>
      </c>
      <c r="G122" s="2224"/>
      <c r="H122" s="2224"/>
      <c r="I122" s="2261"/>
      <c r="J122" s="2223">
        <f t="shared" si="3"/>
        <v>26.099999999999994</v>
      </c>
      <c r="K122" s="2224"/>
      <c r="L122" s="2224"/>
      <c r="M122" s="2262"/>
      <c r="N122" s="2263">
        <v>68</v>
      </c>
      <c r="O122" s="2224"/>
      <c r="P122" s="2224"/>
      <c r="Q122" s="2261"/>
      <c r="R122" s="2223">
        <v>75.5</v>
      </c>
      <c r="S122" s="2224"/>
      <c r="T122" s="2224"/>
      <c r="U122" s="2261"/>
      <c r="V122" s="2223">
        <f t="shared" si="4"/>
        <v>7.5</v>
      </c>
      <c r="W122" s="2224"/>
      <c r="X122" s="2224"/>
      <c r="Y122" s="2264"/>
      <c r="Z122" s="2273"/>
      <c r="AA122" s="2274"/>
      <c r="AB122" s="2274"/>
      <c r="AC122" s="2274"/>
      <c r="AD122" s="2274"/>
      <c r="AE122" s="2274"/>
      <c r="AF122" s="2274"/>
      <c r="AG122" s="2274"/>
      <c r="AH122" s="2274"/>
      <c r="AI122" s="2275"/>
    </row>
    <row r="123" spans="1:35">
      <c r="A123" s="1571"/>
      <c r="B123" s="2255">
        <v>99.3</v>
      </c>
      <c r="C123" s="2256"/>
      <c r="D123" s="2256"/>
      <c r="E123" s="2257"/>
      <c r="F123" s="2255">
        <v>104.2</v>
      </c>
      <c r="G123" s="2256"/>
      <c r="H123" s="2256"/>
      <c r="I123" s="2257"/>
      <c r="J123" s="2255">
        <f t="shared" si="3"/>
        <v>4.9000000000000057</v>
      </c>
      <c r="K123" s="2256"/>
      <c r="L123" s="2256"/>
      <c r="M123" s="2258"/>
      <c r="N123" s="2259">
        <v>77</v>
      </c>
      <c r="O123" s="2256"/>
      <c r="P123" s="2256"/>
      <c r="Q123" s="2257"/>
      <c r="R123" s="2255">
        <v>78.400000000000006</v>
      </c>
      <c r="S123" s="2256"/>
      <c r="T123" s="2256"/>
      <c r="U123" s="2257"/>
      <c r="V123" s="2255">
        <f t="shared" si="4"/>
        <v>1.4000000000000057</v>
      </c>
      <c r="W123" s="2256"/>
      <c r="X123" s="2256"/>
      <c r="Y123" s="2260"/>
      <c r="Z123" s="2273"/>
      <c r="AA123" s="2274"/>
      <c r="AB123" s="2274"/>
      <c r="AC123" s="2274"/>
      <c r="AD123" s="2274"/>
      <c r="AE123" s="2274"/>
      <c r="AF123" s="2274"/>
      <c r="AG123" s="2274"/>
      <c r="AH123" s="2274"/>
      <c r="AI123" s="2275"/>
    </row>
    <row r="124" spans="1:35">
      <c r="A124" s="1570"/>
      <c r="B124" s="2223">
        <v>107.1</v>
      </c>
      <c r="C124" s="2224"/>
      <c r="D124" s="2224"/>
      <c r="E124" s="2261"/>
      <c r="F124" s="2223">
        <v>109.1</v>
      </c>
      <c r="G124" s="2224"/>
      <c r="H124" s="2224"/>
      <c r="I124" s="2261"/>
      <c r="J124" s="2223">
        <f t="shared" si="3"/>
        <v>2</v>
      </c>
      <c r="K124" s="2224"/>
      <c r="L124" s="2224"/>
      <c r="M124" s="2262"/>
      <c r="N124" s="2263">
        <v>87.7</v>
      </c>
      <c r="O124" s="2224"/>
      <c r="P124" s="2224"/>
      <c r="Q124" s="2261"/>
      <c r="R124" s="2223">
        <v>97.8</v>
      </c>
      <c r="S124" s="2224"/>
      <c r="T124" s="2224"/>
      <c r="U124" s="2261"/>
      <c r="V124" s="2223">
        <f t="shared" si="4"/>
        <v>10.099999999999994</v>
      </c>
      <c r="W124" s="2224"/>
      <c r="X124" s="2224"/>
      <c r="Y124" s="2264"/>
      <c r="Z124" s="2273"/>
      <c r="AA124" s="2274"/>
      <c r="AB124" s="2274"/>
      <c r="AC124" s="2274"/>
      <c r="AD124" s="2274"/>
      <c r="AE124" s="2274"/>
      <c r="AF124" s="2274"/>
      <c r="AG124" s="2274"/>
      <c r="AH124" s="2274"/>
      <c r="AI124" s="2275"/>
    </row>
    <row r="125" spans="1:35">
      <c r="A125" s="1571"/>
      <c r="B125" s="2255"/>
      <c r="C125" s="2256"/>
      <c r="D125" s="2256"/>
      <c r="E125" s="2257"/>
      <c r="F125" s="2255"/>
      <c r="G125" s="2256"/>
      <c r="H125" s="2256"/>
      <c r="I125" s="2257"/>
      <c r="J125" s="2255">
        <f t="shared" si="3"/>
        <v>0</v>
      </c>
      <c r="K125" s="2256"/>
      <c r="L125" s="2256"/>
      <c r="M125" s="2258"/>
      <c r="N125" s="2259">
        <v>102.3</v>
      </c>
      <c r="O125" s="2256"/>
      <c r="P125" s="2256"/>
      <c r="Q125" s="2257"/>
      <c r="R125" s="2255">
        <v>103.9</v>
      </c>
      <c r="S125" s="2256"/>
      <c r="T125" s="2256"/>
      <c r="U125" s="2257"/>
      <c r="V125" s="2255">
        <f t="shared" si="4"/>
        <v>1.6000000000000085</v>
      </c>
      <c r="W125" s="2256"/>
      <c r="X125" s="2256"/>
      <c r="Y125" s="2260"/>
      <c r="Z125" s="2273"/>
      <c r="AA125" s="2274"/>
      <c r="AB125" s="2274"/>
      <c r="AC125" s="2274"/>
      <c r="AD125" s="2274"/>
      <c r="AE125" s="2274"/>
      <c r="AF125" s="2274"/>
      <c r="AG125" s="2274"/>
      <c r="AH125" s="2274"/>
      <c r="AI125" s="2275"/>
    </row>
    <row r="126" spans="1:35">
      <c r="A126" s="1541"/>
      <c r="B126" s="2249"/>
      <c r="C126" s="2250"/>
      <c r="D126" s="2250"/>
      <c r="E126" s="2251"/>
      <c r="F126" s="2249"/>
      <c r="G126" s="2250"/>
      <c r="H126" s="2250"/>
      <c r="I126" s="2251"/>
      <c r="J126" s="2249">
        <f t="shared" si="3"/>
        <v>0</v>
      </c>
      <c r="K126" s="2250"/>
      <c r="L126" s="2250"/>
      <c r="M126" s="2252"/>
      <c r="N126" s="2253"/>
      <c r="O126" s="2250"/>
      <c r="P126" s="2250"/>
      <c r="Q126" s="2251"/>
      <c r="R126" s="2249"/>
      <c r="S126" s="2250"/>
      <c r="T126" s="2250"/>
      <c r="U126" s="2251"/>
      <c r="V126" s="2249">
        <f t="shared" si="4"/>
        <v>0</v>
      </c>
      <c r="W126" s="2250"/>
      <c r="X126" s="2250"/>
      <c r="Y126" s="2254"/>
      <c r="Z126" s="2273"/>
      <c r="AA126" s="2274"/>
      <c r="AB126" s="2274"/>
      <c r="AC126" s="2274"/>
      <c r="AD126" s="2274"/>
      <c r="AE126" s="2274"/>
      <c r="AF126" s="2274"/>
      <c r="AG126" s="2274"/>
      <c r="AH126" s="2274"/>
      <c r="AI126" s="2275"/>
    </row>
    <row r="127" spans="1:35">
      <c r="A127" s="1538"/>
      <c r="B127" s="2233"/>
      <c r="C127" s="2234"/>
      <c r="D127" s="2234"/>
      <c r="E127" s="2247"/>
      <c r="F127" s="2233"/>
      <c r="G127" s="2234"/>
      <c r="H127" s="2234"/>
      <c r="I127" s="2247"/>
      <c r="J127" s="2233">
        <f t="shared" si="3"/>
        <v>0</v>
      </c>
      <c r="K127" s="2234"/>
      <c r="L127" s="2234"/>
      <c r="M127" s="2235"/>
      <c r="N127" s="2248"/>
      <c r="O127" s="2234"/>
      <c r="P127" s="2234"/>
      <c r="Q127" s="2247"/>
      <c r="R127" s="2233"/>
      <c r="S127" s="2234"/>
      <c r="T127" s="2234"/>
      <c r="U127" s="2247"/>
      <c r="V127" s="2233">
        <f t="shared" si="4"/>
        <v>0</v>
      </c>
      <c r="W127" s="2234"/>
      <c r="X127" s="2234"/>
      <c r="Y127" s="2240"/>
      <c r="Z127" s="2273"/>
      <c r="AA127" s="2274"/>
      <c r="AB127" s="2274"/>
      <c r="AC127" s="2274"/>
      <c r="AD127" s="2274"/>
      <c r="AE127" s="2274"/>
      <c r="AF127" s="2274"/>
      <c r="AG127" s="2274"/>
      <c r="AH127" s="2274"/>
      <c r="AI127" s="2275"/>
    </row>
    <row r="128" spans="1:35">
      <c r="A128" s="1541"/>
      <c r="B128" s="2249"/>
      <c r="C128" s="2250"/>
      <c r="D128" s="2250"/>
      <c r="E128" s="2251"/>
      <c r="F128" s="2249"/>
      <c r="G128" s="2250"/>
      <c r="H128" s="2250"/>
      <c r="I128" s="2251"/>
      <c r="J128" s="2249">
        <f t="shared" si="3"/>
        <v>0</v>
      </c>
      <c r="K128" s="2250"/>
      <c r="L128" s="2250"/>
      <c r="M128" s="2252"/>
      <c r="N128" s="2253"/>
      <c r="O128" s="2250"/>
      <c r="P128" s="2250"/>
      <c r="Q128" s="2251"/>
      <c r="R128" s="2249"/>
      <c r="S128" s="2250"/>
      <c r="T128" s="2250"/>
      <c r="U128" s="2251"/>
      <c r="V128" s="2249">
        <f t="shared" si="4"/>
        <v>0</v>
      </c>
      <c r="W128" s="2250"/>
      <c r="X128" s="2250"/>
      <c r="Y128" s="2254"/>
      <c r="Z128" s="2273"/>
      <c r="AA128" s="2274"/>
      <c r="AB128" s="2274"/>
      <c r="AC128" s="2274"/>
      <c r="AD128" s="2274"/>
      <c r="AE128" s="2274"/>
      <c r="AF128" s="2274"/>
      <c r="AG128" s="2274"/>
      <c r="AH128" s="2274"/>
      <c r="AI128" s="2275"/>
    </row>
    <row r="129" spans="1:35">
      <c r="A129" s="1538"/>
      <c r="B129" s="2233"/>
      <c r="C129" s="2234"/>
      <c r="D129" s="2234"/>
      <c r="E129" s="2247"/>
      <c r="F129" s="2233"/>
      <c r="G129" s="2234"/>
      <c r="H129" s="2234"/>
      <c r="I129" s="2247"/>
      <c r="J129" s="2233">
        <f t="shared" si="3"/>
        <v>0</v>
      </c>
      <c r="K129" s="2234"/>
      <c r="L129" s="2234"/>
      <c r="M129" s="2235"/>
      <c r="N129" s="2248"/>
      <c r="O129" s="2234"/>
      <c r="P129" s="2234"/>
      <c r="Q129" s="2247"/>
      <c r="R129" s="2233"/>
      <c r="S129" s="2234"/>
      <c r="T129" s="2234"/>
      <c r="U129" s="2247"/>
      <c r="V129" s="2233">
        <f t="shared" si="4"/>
        <v>0</v>
      </c>
      <c r="W129" s="2234"/>
      <c r="X129" s="2234"/>
      <c r="Y129" s="2240"/>
      <c r="Z129" s="2273"/>
      <c r="AA129" s="2274"/>
      <c r="AB129" s="2274"/>
      <c r="AC129" s="2274"/>
      <c r="AD129" s="2274"/>
      <c r="AE129" s="2274"/>
      <c r="AF129" s="2274"/>
      <c r="AG129" s="2274"/>
      <c r="AH129" s="2274"/>
      <c r="AI129" s="2275"/>
    </row>
    <row r="130" spans="1:35">
      <c r="A130" s="1541"/>
      <c r="B130" s="2249"/>
      <c r="C130" s="2250"/>
      <c r="D130" s="2250"/>
      <c r="E130" s="2251"/>
      <c r="F130" s="2249"/>
      <c r="G130" s="2250"/>
      <c r="H130" s="2250"/>
      <c r="I130" s="2251"/>
      <c r="J130" s="2249">
        <f t="shared" si="3"/>
        <v>0</v>
      </c>
      <c r="K130" s="2250"/>
      <c r="L130" s="2250"/>
      <c r="M130" s="2252"/>
      <c r="N130" s="2253"/>
      <c r="O130" s="2250"/>
      <c r="P130" s="2250"/>
      <c r="Q130" s="2251"/>
      <c r="R130" s="2249"/>
      <c r="S130" s="2250"/>
      <c r="T130" s="2250"/>
      <c r="U130" s="2251"/>
      <c r="V130" s="2249">
        <f t="shared" si="4"/>
        <v>0</v>
      </c>
      <c r="W130" s="2250"/>
      <c r="X130" s="2250"/>
      <c r="Y130" s="2254"/>
      <c r="Z130" s="2273"/>
      <c r="AA130" s="2274"/>
      <c r="AB130" s="2274"/>
      <c r="AC130" s="2274"/>
      <c r="AD130" s="2274"/>
      <c r="AE130" s="2274"/>
      <c r="AF130" s="2274"/>
      <c r="AG130" s="2274"/>
      <c r="AH130" s="2274"/>
      <c r="AI130" s="2275"/>
    </row>
    <row r="131" spans="1:35">
      <c r="A131" s="1538"/>
      <c r="B131" s="2233"/>
      <c r="C131" s="2234"/>
      <c r="D131" s="2234"/>
      <c r="E131" s="2247"/>
      <c r="F131" s="2233"/>
      <c r="G131" s="2234"/>
      <c r="H131" s="2234"/>
      <c r="I131" s="2247"/>
      <c r="J131" s="2233">
        <f t="shared" si="3"/>
        <v>0</v>
      </c>
      <c r="K131" s="2234"/>
      <c r="L131" s="2234"/>
      <c r="M131" s="2235"/>
      <c r="N131" s="2248"/>
      <c r="O131" s="2234"/>
      <c r="P131" s="2234"/>
      <c r="Q131" s="2247"/>
      <c r="R131" s="2233"/>
      <c r="S131" s="2234"/>
      <c r="T131" s="2234"/>
      <c r="U131" s="2247"/>
      <c r="V131" s="2233">
        <f t="shared" si="4"/>
        <v>0</v>
      </c>
      <c r="W131" s="2234"/>
      <c r="X131" s="2234"/>
      <c r="Y131" s="2240"/>
      <c r="Z131" s="2273"/>
      <c r="AA131" s="2274"/>
      <c r="AB131" s="2274"/>
      <c r="AC131" s="2274"/>
      <c r="AD131" s="2274"/>
      <c r="AE131" s="2274"/>
      <c r="AF131" s="2274"/>
      <c r="AG131" s="2274"/>
      <c r="AH131" s="2274"/>
      <c r="AI131" s="2275"/>
    </row>
    <row r="132" spans="1:35">
      <c r="A132" s="1570"/>
      <c r="B132" s="2249"/>
      <c r="C132" s="2250"/>
      <c r="D132" s="2250"/>
      <c r="E132" s="2251"/>
      <c r="F132" s="2249"/>
      <c r="G132" s="2250"/>
      <c r="H132" s="2250"/>
      <c r="I132" s="2251"/>
      <c r="J132" s="2249">
        <f t="shared" si="3"/>
        <v>0</v>
      </c>
      <c r="K132" s="2250"/>
      <c r="L132" s="2250"/>
      <c r="M132" s="2252"/>
      <c r="N132" s="2253"/>
      <c r="O132" s="2250"/>
      <c r="P132" s="2250"/>
      <c r="Q132" s="2251"/>
      <c r="R132" s="2249"/>
      <c r="S132" s="2250"/>
      <c r="T132" s="2250"/>
      <c r="U132" s="2251"/>
      <c r="V132" s="2249">
        <f t="shared" si="4"/>
        <v>0</v>
      </c>
      <c r="W132" s="2250"/>
      <c r="X132" s="2250"/>
      <c r="Y132" s="2254"/>
      <c r="Z132" s="2273"/>
      <c r="AA132" s="2274"/>
      <c r="AB132" s="2274"/>
      <c r="AC132" s="2274"/>
      <c r="AD132" s="2274"/>
      <c r="AE132" s="2274"/>
      <c r="AF132" s="2274"/>
      <c r="AG132" s="2274"/>
      <c r="AH132" s="2274"/>
      <c r="AI132" s="2275"/>
    </row>
    <row r="133" spans="1:35">
      <c r="A133" s="1538"/>
      <c r="B133" s="2233"/>
      <c r="C133" s="2234"/>
      <c r="D133" s="2234"/>
      <c r="E133" s="2247"/>
      <c r="F133" s="2233"/>
      <c r="G133" s="2234"/>
      <c r="H133" s="2234"/>
      <c r="I133" s="2247"/>
      <c r="J133" s="2233">
        <f t="shared" si="3"/>
        <v>0</v>
      </c>
      <c r="K133" s="2234"/>
      <c r="L133" s="2234"/>
      <c r="M133" s="2235"/>
      <c r="N133" s="2248"/>
      <c r="O133" s="2234"/>
      <c r="P133" s="2234"/>
      <c r="Q133" s="2247"/>
      <c r="R133" s="2233"/>
      <c r="S133" s="2234"/>
      <c r="T133" s="2234"/>
      <c r="U133" s="2247"/>
      <c r="V133" s="2233">
        <f t="shared" si="4"/>
        <v>0</v>
      </c>
      <c r="W133" s="2234"/>
      <c r="X133" s="2234"/>
      <c r="Y133" s="2240"/>
      <c r="Z133" s="2273"/>
      <c r="AA133" s="2274"/>
      <c r="AB133" s="2274"/>
      <c r="AC133" s="2274"/>
      <c r="AD133" s="2274"/>
      <c r="AE133" s="2274"/>
      <c r="AF133" s="2274"/>
      <c r="AG133" s="2274"/>
      <c r="AH133" s="2274"/>
      <c r="AI133" s="2275"/>
    </row>
    <row r="134" spans="1:35">
      <c r="A134" s="1541"/>
      <c r="B134" s="2249"/>
      <c r="C134" s="2250"/>
      <c r="D134" s="2250"/>
      <c r="E134" s="2251"/>
      <c r="F134" s="2249"/>
      <c r="G134" s="2250"/>
      <c r="H134" s="2250"/>
      <c r="I134" s="2251"/>
      <c r="J134" s="2249">
        <f t="shared" si="3"/>
        <v>0</v>
      </c>
      <c r="K134" s="2250"/>
      <c r="L134" s="2250"/>
      <c r="M134" s="2252"/>
      <c r="N134" s="2253"/>
      <c r="O134" s="2250"/>
      <c r="P134" s="2250"/>
      <c r="Q134" s="2251"/>
      <c r="R134" s="2249"/>
      <c r="S134" s="2250"/>
      <c r="T134" s="2250"/>
      <c r="U134" s="2251"/>
      <c r="V134" s="2249">
        <f t="shared" si="4"/>
        <v>0</v>
      </c>
      <c r="W134" s="2250"/>
      <c r="X134" s="2250"/>
      <c r="Y134" s="2254"/>
      <c r="Z134" s="2273"/>
      <c r="AA134" s="2274"/>
      <c r="AB134" s="2274"/>
      <c r="AC134" s="2274"/>
      <c r="AD134" s="2274"/>
      <c r="AE134" s="2274"/>
      <c r="AF134" s="2274"/>
      <c r="AG134" s="2274"/>
      <c r="AH134" s="2274"/>
      <c r="AI134" s="2275"/>
    </row>
    <row r="135" spans="1:35">
      <c r="A135" s="1538"/>
      <c r="B135" s="2233"/>
      <c r="C135" s="2234"/>
      <c r="D135" s="2234"/>
      <c r="E135" s="2247"/>
      <c r="F135" s="2233"/>
      <c r="G135" s="2234"/>
      <c r="H135" s="2234"/>
      <c r="I135" s="2247"/>
      <c r="J135" s="2233">
        <f t="shared" si="3"/>
        <v>0</v>
      </c>
      <c r="K135" s="2234"/>
      <c r="L135" s="2234"/>
      <c r="M135" s="2235"/>
      <c r="N135" s="2248"/>
      <c r="O135" s="2234"/>
      <c r="P135" s="2234"/>
      <c r="Q135" s="2247"/>
      <c r="R135" s="2233"/>
      <c r="S135" s="2234"/>
      <c r="T135" s="2234"/>
      <c r="U135" s="2247"/>
      <c r="V135" s="2233">
        <f t="shared" si="4"/>
        <v>0</v>
      </c>
      <c r="W135" s="2234"/>
      <c r="X135" s="2234"/>
      <c r="Y135" s="2240"/>
      <c r="Z135" s="2273"/>
      <c r="AA135" s="2274"/>
      <c r="AB135" s="2274"/>
      <c r="AC135" s="2274"/>
      <c r="AD135" s="2274"/>
      <c r="AE135" s="2274"/>
      <c r="AF135" s="2274"/>
      <c r="AG135" s="2274"/>
      <c r="AH135" s="2274"/>
      <c r="AI135" s="2275"/>
    </row>
    <row r="136" spans="1:35">
      <c r="A136" s="1541"/>
      <c r="B136" s="2249"/>
      <c r="C136" s="2250"/>
      <c r="D136" s="2250"/>
      <c r="E136" s="2251"/>
      <c r="F136" s="2249"/>
      <c r="G136" s="2250"/>
      <c r="H136" s="2250"/>
      <c r="I136" s="2251"/>
      <c r="J136" s="2249">
        <f t="shared" si="3"/>
        <v>0</v>
      </c>
      <c r="K136" s="2250"/>
      <c r="L136" s="2250"/>
      <c r="M136" s="2252"/>
      <c r="N136" s="2253"/>
      <c r="O136" s="2250"/>
      <c r="P136" s="2250"/>
      <c r="Q136" s="2251"/>
      <c r="R136" s="2249"/>
      <c r="S136" s="2250"/>
      <c r="T136" s="2250"/>
      <c r="U136" s="2251"/>
      <c r="V136" s="2249">
        <f t="shared" si="4"/>
        <v>0</v>
      </c>
      <c r="W136" s="2250"/>
      <c r="X136" s="2250"/>
      <c r="Y136" s="2254"/>
      <c r="Z136" s="2273"/>
      <c r="AA136" s="2274"/>
      <c r="AB136" s="2274"/>
      <c r="AC136" s="2274"/>
      <c r="AD136" s="2274"/>
      <c r="AE136" s="2274"/>
      <c r="AF136" s="2274"/>
      <c r="AG136" s="2274"/>
      <c r="AH136" s="2274"/>
      <c r="AI136" s="2275"/>
    </row>
    <row r="137" spans="1:35">
      <c r="A137" s="1538"/>
      <c r="B137" s="2233"/>
      <c r="C137" s="2234"/>
      <c r="D137" s="2234"/>
      <c r="E137" s="2247"/>
      <c r="F137" s="2233"/>
      <c r="G137" s="2234"/>
      <c r="H137" s="2234"/>
      <c r="I137" s="2247"/>
      <c r="J137" s="2233">
        <f t="shared" si="3"/>
        <v>0</v>
      </c>
      <c r="K137" s="2234"/>
      <c r="L137" s="2234"/>
      <c r="M137" s="2235"/>
      <c r="N137" s="2248"/>
      <c r="O137" s="2234"/>
      <c r="P137" s="2234"/>
      <c r="Q137" s="2247"/>
      <c r="R137" s="2233"/>
      <c r="S137" s="2234"/>
      <c r="T137" s="2234"/>
      <c r="U137" s="2247"/>
      <c r="V137" s="2233">
        <f t="shared" si="4"/>
        <v>0</v>
      </c>
      <c r="W137" s="2234"/>
      <c r="X137" s="2234"/>
      <c r="Y137" s="2240"/>
      <c r="Z137" s="2273"/>
      <c r="AA137" s="2274"/>
      <c r="AB137" s="2274"/>
      <c r="AC137" s="2274"/>
      <c r="AD137" s="2274"/>
      <c r="AE137" s="2274"/>
      <c r="AF137" s="2274"/>
      <c r="AG137" s="2274"/>
      <c r="AH137" s="2274"/>
      <c r="AI137" s="2275"/>
    </row>
    <row r="138" spans="1:35">
      <c r="A138" s="1570"/>
      <c r="B138" s="2249"/>
      <c r="C138" s="2250"/>
      <c r="D138" s="2250"/>
      <c r="E138" s="2251"/>
      <c r="F138" s="2249"/>
      <c r="G138" s="2250"/>
      <c r="H138" s="2250"/>
      <c r="I138" s="2251"/>
      <c r="J138" s="2249">
        <f t="shared" si="3"/>
        <v>0</v>
      </c>
      <c r="K138" s="2250"/>
      <c r="L138" s="2250"/>
      <c r="M138" s="2252"/>
      <c r="N138" s="2253"/>
      <c r="O138" s="2250"/>
      <c r="P138" s="2250"/>
      <c r="Q138" s="2251"/>
      <c r="R138" s="2249"/>
      <c r="S138" s="2250"/>
      <c r="T138" s="2250"/>
      <c r="U138" s="2251"/>
      <c r="V138" s="2249">
        <f t="shared" si="4"/>
        <v>0</v>
      </c>
      <c r="W138" s="2250"/>
      <c r="X138" s="2250"/>
      <c r="Y138" s="2254"/>
      <c r="Z138" s="2273"/>
      <c r="AA138" s="2274"/>
      <c r="AB138" s="2274"/>
      <c r="AC138" s="2274"/>
      <c r="AD138" s="2274"/>
      <c r="AE138" s="2274"/>
      <c r="AF138" s="2274"/>
      <c r="AG138" s="2274"/>
      <c r="AH138" s="2274"/>
      <c r="AI138" s="2275"/>
    </row>
    <row r="139" spans="1:35">
      <c r="A139" s="1569"/>
      <c r="B139" s="2211"/>
      <c r="C139" s="2212"/>
      <c r="D139" s="2212"/>
      <c r="E139" s="2232"/>
      <c r="F139" s="2212"/>
      <c r="G139" s="2212"/>
      <c r="H139" s="2212"/>
      <c r="I139" s="2232"/>
      <c r="J139" s="2233">
        <f t="shared" si="3"/>
        <v>0</v>
      </c>
      <c r="K139" s="2234"/>
      <c r="L139" s="2234"/>
      <c r="M139" s="2235"/>
      <c r="N139" s="2236"/>
      <c r="O139" s="2237"/>
      <c r="P139" s="2237"/>
      <c r="Q139" s="2238"/>
      <c r="R139" s="2239"/>
      <c r="S139" s="2237"/>
      <c r="T139" s="2237"/>
      <c r="U139" s="2238"/>
      <c r="V139" s="2233">
        <f t="shared" si="4"/>
        <v>0</v>
      </c>
      <c r="W139" s="2234"/>
      <c r="X139" s="2234"/>
      <c r="Y139" s="2240"/>
      <c r="Z139" s="2273"/>
      <c r="AA139" s="2274"/>
      <c r="AB139" s="2274"/>
      <c r="AC139" s="2274"/>
      <c r="AD139" s="2274"/>
      <c r="AE139" s="2274"/>
      <c r="AF139" s="2274"/>
      <c r="AG139" s="2274"/>
      <c r="AH139" s="2274"/>
      <c r="AI139" s="2275"/>
    </row>
    <row r="140" spans="1:35">
      <c r="A140" s="1568"/>
      <c r="B140" s="1567"/>
      <c r="C140" s="1566"/>
      <c r="D140" s="1566"/>
      <c r="E140" s="1565"/>
      <c r="F140" s="1566"/>
      <c r="G140" s="1566"/>
      <c r="H140" s="1566"/>
      <c r="I140" s="1565"/>
      <c r="J140" s="2241">
        <f t="shared" si="3"/>
        <v>0</v>
      </c>
      <c r="K140" s="2242"/>
      <c r="L140" s="2242"/>
      <c r="M140" s="2243"/>
      <c r="N140" s="2244"/>
      <c r="O140" s="2242"/>
      <c r="P140" s="2242"/>
      <c r="Q140" s="2245"/>
      <c r="R140" s="2241"/>
      <c r="S140" s="2242"/>
      <c r="T140" s="2242"/>
      <c r="U140" s="2245"/>
      <c r="V140" s="2241">
        <f t="shared" si="4"/>
        <v>0</v>
      </c>
      <c r="W140" s="2242"/>
      <c r="X140" s="2242"/>
      <c r="Y140" s="2246"/>
      <c r="Z140" s="2205" t="s">
        <v>2936</v>
      </c>
      <c r="AA140" s="2206"/>
      <c r="AB140" s="2206"/>
      <c r="AC140" s="2206"/>
      <c r="AD140" s="2206"/>
      <c r="AE140" s="2206"/>
      <c r="AF140" s="2206"/>
      <c r="AG140" s="2206"/>
      <c r="AH140" s="2206"/>
      <c r="AI140" s="2207"/>
    </row>
    <row r="141" spans="1:35">
      <c r="A141" s="2208" t="s">
        <v>2935</v>
      </c>
      <c r="B141" s="2209"/>
      <c r="C141" s="2209"/>
      <c r="D141" s="2209"/>
      <c r="E141" s="2209"/>
      <c r="F141" s="2209"/>
      <c r="G141" s="2209"/>
      <c r="H141" s="2209"/>
      <c r="I141" s="2210"/>
      <c r="J141" s="2211">
        <f>SUM(J114:M140)</f>
        <v>67.400000000000006</v>
      </c>
      <c r="K141" s="2212"/>
      <c r="L141" s="2212"/>
      <c r="M141" s="2212"/>
      <c r="N141" s="2213"/>
      <c r="O141" s="2214"/>
      <c r="P141" s="2214"/>
      <c r="Q141" s="2215"/>
      <c r="R141" s="2216"/>
      <c r="S141" s="2214"/>
      <c r="T141" s="2214"/>
      <c r="U141" s="2215"/>
      <c r="V141" s="2211">
        <f>SUM(V114:Y140)</f>
        <v>49.500000000000014</v>
      </c>
      <c r="W141" s="2212"/>
      <c r="X141" s="2212"/>
      <c r="Y141" s="2212"/>
      <c r="Z141" s="2217">
        <f>(J141+V141)/2</f>
        <v>58.45000000000001</v>
      </c>
      <c r="AA141" s="2218"/>
      <c r="AB141" s="2218"/>
      <c r="AC141" s="2218"/>
      <c r="AD141" s="2218"/>
      <c r="AE141" s="2218"/>
      <c r="AF141" s="2218"/>
      <c r="AG141" s="2218"/>
      <c r="AH141" s="2218"/>
      <c r="AI141" s="2219"/>
    </row>
    <row r="142" spans="1:35">
      <c r="A142" s="2220" t="s">
        <v>2934</v>
      </c>
      <c r="B142" s="2221"/>
      <c r="C142" s="2221"/>
      <c r="D142" s="2221"/>
      <c r="E142" s="2221"/>
      <c r="F142" s="2221"/>
      <c r="G142" s="2221"/>
      <c r="H142" s="2221"/>
      <c r="I142" s="2222"/>
      <c r="J142" s="2223">
        <f>100-J141</f>
        <v>32.599999999999994</v>
      </c>
      <c r="K142" s="2224"/>
      <c r="L142" s="2224"/>
      <c r="M142" s="2224"/>
      <c r="N142" s="2225"/>
      <c r="O142" s="2226"/>
      <c r="P142" s="2226"/>
      <c r="Q142" s="2227"/>
      <c r="R142" s="2228"/>
      <c r="S142" s="2226"/>
      <c r="T142" s="2226"/>
      <c r="U142" s="2227"/>
      <c r="V142" s="2223">
        <f>100-V141</f>
        <v>50.499999999999986</v>
      </c>
      <c r="W142" s="2224"/>
      <c r="X142" s="2224"/>
      <c r="Y142" s="2224"/>
      <c r="Z142" s="2229">
        <f>(J142+V142)/2</f>
        <v>41.54999999999999</v>
      </c>
      <c r="AA142" s="2230"/>
      <c r="AB142" s="2230"/>
      <c r="AC142" s="2230"/>
      <c r="AD142" s="2230"/>
      <c r="AE142" s="2230"/>
      <c r="AF142" s="2230"/>
      <c r="AG142" s="2230"/>
      <c r="AH142" s="2230"/>
      <c r="AI142" s="2231"/>
    </row>
    <row r="143" spans="1:35" ht="14" thickBot="1">
      <c r="A143" s="2192" t="s">
        <v>2933</v>
      </c>
      <c r="B143" s="2193"/>
      <c r="C143" s="2193"/>
      <c r="D143" s="2193"/>
      <c r="E143" s="2193"/>
      <c r="F143" s="2193"/>
      <c r="G143" s="2193"/>
      <c r="H143" s="2193"/>
      <c r="I143" s="2194"/>
      <c r="J143" s="2195">
        <f>J141/100</f>
        <v>0.67400000000000004</v>
      </c>
      <c r="K143" s="2196"/>
      <c r="L143" s="2196"/>
      <c r="M143" s="2197"/>
      <c r="N143" s="2198"/>
      <c r="O143" s="2199"/>
      <c r="P143" s="2199"/>
      <c r="Q143" s="2200"/>
      <c r="R143" s="2201"/>
      <c r="S143" s="2199"/>
      <c r="T143" s="2199"/>
      <c r="U143" s="2200"/>
      <c r="V143" s="2195">
        <f>V141/100</f>
        <v>0.49500000000000016</v>
      </c>
      <c r="W143" s="2196"/>
      <c r="X143" s="2196"/>
      <c r="Y143" s="2196"/>
      <c r="Z143" s="2202">
        <f>Z141/100</f>
        <v>0.58450000000000013</v>
      </c>
      <c r="AA143" s="2203"/>
      <c r="AB143" s="2203"/>
      <c r="AC143" s="2203"/>
      <c r="AD143" s="2203"/>
      <c r="AE143" s="2203"/>
      <c r="AF143" s="2203"/>
      <c r="AG143" s="2203"/>
      <c r="AH143" s="2203"/>
      <c r="AI143" s="2204"/>
    </row>
  </sheetData>
  <mergeCells count="744">
    <mergeCell ref="A1:AI1"/>
    <mergeCell ref="A2:C2"/>
    <mergeCell ref="D2:J2"/>
    <mergeCell ref="K2:W2"/>
    <mergeCell ref="X2:AF2"/>
    <mergeCell ref="AG2:AI2"/>
    <mergeCell ref="A3:B3"/>
    <mergeCell ref="C3:S3"/>
    <mergeCell ref="T3:V3"/>
    <mergeCell ref="W3:Y3"/>
    <mergeCell ref="Z3:AI3"/>
    <mergeCell ref="B4:F4"/>
    <mergeCell ref="G4:K4"/>
    <mergeCell ref="L4:P4"/>
    <mergeCell ref="Q4:V4"/>
    <mergeCell ref="W4:AI4"/>
    <mergeCell ref="B15:AE15"/>
    <mergeCell ref="AH15:AI15"/>
    <mergeCell ref="B5:G5"/>
    <mergeCell ref="H5:M5"/>
    <mergeCell ref="N5:V5"/>
    <mergeCell ref="W5:AE5"/>
    <mergeCell ref="AH5:AI5"/>
    <mergeCell ref="B6:AE6"/>
    <mergeCell ref="AH6:AI6"/>
    <mergeCell ref="B7:AE7"/>
    <mergeCell ref="AH7:AI7"/>
    <mergeCell ref="B8:AE8"/>
    <mergeCell ref="AH8:AI8"/>
    <mergeCell ref="B9:AE9"/>
    <mergeCell ref="AH9:AI9"/>
    <mergeCell ref="B10:AE10"/>
    <mergeCell ref="AH10:AI10"/>
    <mergeCell ref="B11:AE11"/>
    <mergeCell ref="AH11:AI11"/>
    <mergeCell ref="B12:AE12"/>
    <mergeCell ref="AH12:AI12"/>
    <mergeCell ref="B13:AE13"/>
    <mergeCell ref="AH13:AI13"/>
    <mergeCell ref="B14:AE14"/>
    <mergeCell ref="AH14:AI14"/>
    <mergeCell ref="B16:AE16"/>
    <mergeCell ref="AF16:AF17"/>
    <mergeCell ref="AG16:AG17"/>
    <mergeCell ref="AH16:AI17"/>
    <mergeCell ref="B17:F17"/>
    <mergeCell ref="G17:K17"/>
    <mergeCell ref="L17:P17"/>
    <mergeCell ref="Q17:U17"/>
    <mergeCell ref="V17:Z17"/>
    <mergeCell ref="AA17:AE17"/>
    <mergeCell ref="L18:P18"/>
    <mergeCell ref="Q18:U18"/>
    <mergeCell ref="V18:Z18"/>
    <mergeCell ref="AA18:AE18"/>
    <mergeCell ref="AH20:AI20"/>
    <mergeCell ref="B21:F21"/>
    <mergeCell ref="G21:K21"/>
    <mergeCell ref="L21:P21"/>
    <mergeCell ref="Q21:U21"/>
    <mergeCell ref="V21:Z21"/>
    <mergeCell ref="AH18:AI18"/>
    <mergeCell ref="B19:F19"/>
    <mergeCell ref="G19:K19"/>
    <mergeCell ref="L19:P19"/>
    <mergeCell ref="Q19:U19"/>
    <mergeCell ref="V19:Z19"/>
    <mergeCell ref="AA19:AE19"/>
    <mergeCell ref="AH19:AI19"/>
    <mergeCell ref="B18:F18"/>
    <mergeCell ref="G18:K18"/>
    <mergeCell ref="AA23:AE23"/>
    <mergeCell ref="AH23:AI23"/>
    <mergeCell ref="B22:F22"/>
    <mergeCell ref="G22:K22"/>
    <mergeCell ref="AA21:AE21"/>
    <mergeCell ref="AH21:AI21"/>
    <mergeCell ref="B20:F20"/>
    <mergeCell ref="G20:K20"/>
    <mergeCell ref="L20:P20"/>
    <mergeCell ref="Q20:U20"/>
    <mergeCell ref="V20:Z20"/>
    <mergeCell ref="AA20:AE20"/>
    <mergeCell ref="AA25:AE25"/>
    <mergeCell ref="AH25:AI25"/>
    <mergeCell ref="B24:F24"/>
    <mergeCell ref="G24:K24"/>
    <mergeCell ref="L24:P24"/>
    <mergeCell ref="Q24:U24"/>
    <mergeCell ref="V24:Z24"/>
    <mergeCell ref="AA24:AE24"/>
    <mergeCell ref="L22:P22"/>
    <mergeCell ref="Q22:U22"/>
    <mergeCell ref="V22:Z22"/>
    <mergeCell ref="AA22:AE22"/>
    <mergeCell ref="AH24:AI24"/>
    <mergeCell ref="B25:F25"/>
    <mergeCell ref="G25:K25"/>
    <mergeCell ref="L25:P25"/>
    <mergeCell ref="Q25:U25"/>
    <mergeCell ref="V25:Z25"/>
    <mergeCell ref="AH22:AI22"/>
    <mergeCell ref="B23:F23"/>
    <mergeCell ref="G23:K23"/>
    <mergeCell ref="L23:P23"/>
    <mergeCell ref="Q23:U23"/>
    <mergeCell ref="V23:Z23"/>
    <mergeCell ref="L26:P26"/>
    <mergeCell ref="Q26:U26"/>
    <mergeCell ref="V26:Z26"/>
    <mergeCell ref="AA26:AE26"/>
    <mergeCell ref="AH28:AI28"/>
    <mergeCell ref="B29:F29"/>
    <mergeCell ref="G29:K29"/>
    <mergeCell ref="L29:P29"/>
    <mergeCell ref="Q29:U29"/>
    <mergeCell ref="V29:Z29"/>
    <mergeCell ref="AH26:AI26"/>
    <mergeCell ref="B27:F27"/>
    <mergeCell ref="G27:K27"/>
    <mergeCell ref="L27:P27"/>
    <mergeCell ref="Q27:U27"/>
    <mergeCell ref="V27:Z27"/>
    <mergeCell ref="AA27:AE27"/>
    <mergeCell ref="AH27:AI27"/>
    <mergeCell ref="B26:F26"/>
    <mergeCell ref="G26:K26"/>
    <mergeCell ref="AA31:AE31"/>
    <mergeCell ref="AH31:AI31"/>
    <mergeCell ref="B30:F30"/>
    <mergeCell ref="G30:K30"/>
    <mergeCell ref="AA29:AE29"/>
    <mergeCell ref="AH29:AI29"/>
    <mergeCell ref="B28:F28"/>
    <mergeCell ref="G28:K28"/>
    <mergeCell ref="L28:P28"/>
    <mergeCell ref="Q28:U28"/>
    <mergeCell ref="V28:Z28"/>
    <mergeCell ref="AA28:AE28"/>
    <mergeCell ref="AA33:AE33"/>
    <mergeCell ref="AH33:AI33"/>
    <mergeCell ref="B32:F32"/>
    <mergeCell ref="G32:K32"/>
    <mergeCell ref="L32:P32"/>
    <mergeCell ref="Q32:U32"/>
    <mergeCell ref="V32:Z32"/>
    <mergeCell ref="AA32:AE32"/>
    <mergeCell ref="L30:P30"/>
    <mergeCell ref="Q30:U30"/>
    <mergeCell ref="V30:Z30"/>
    <mergeCell ref="AA30:AE30"/>
    <mergeCell ref="AH32:AI32"/>
    <mergeCell ref="B33:F33"/>
    <mergeCell ref="G33:K33"/>
    <mergeCell ref="L33:P33"/>
    <mergeCell ref="Q33:U33"/>
    <mergeCell ref="V33:Z33"/>
    <mergeCell ref="AH30:AI30"/>
    <mergeCell ref="B31:F31"/>
    <mergeCell ref="G31:K31"/>
    <mergeCell ref="L31:P31"/>
    <mergeCell ref="Q31:U31"/>
    <mergeCell ref="V31:Z31"/>
    <mergeCell ref="Q34:U34"/>
    <mergeCell ref="V34:Z34"/>
    <mergeCell ref="AA34:AE34"/>
    <mergeCell ref="B39:M39"/>
    <mergeCell ref="N39:Y39"/>
    <mergeCell ref="Z39:AI39"/>
    <mergeCell ref="AH34:AI34"/>
    <mergeCell ref="A35:AI35"/>
    <mergeCell ref="A36:C36"/>
    <mergeCell ref="D36:J36"/>
    <mergeCell ref="K36:W36"/>
    <mergeCell ref="X36:AF36"/>
    <mergeCell ref="AG36:AI36"/>
    <mergeCell ref="B34:F34"/>
    <mergeCell ref="G34:K34"/>
    <mergeCell ref="L34:P34"/>
    <mergeCell ref="A37:B37"/>
    <mergeCell ref="C37:S37"/>
    <mergeCell ref="T37:V37"/>
    <mergeCell ref="W37:Y37"/>
    <mergeCell ref="Z37:AI37"/>
    <mergeCell ref="A38:AI38"/>
    <mergeCell ref="Z40:AI40"/>
    <mergeCell ref="Z41:AI66"/>
    <mergeCell ref="B42:E42"/>
    <mergeCell ref="F42:I42"/>
    <mergeCell ref="J42:M42"/>
    <mergeCell ref="N42:Q42"/>
    <mergeCell ref="R42:U42"/>
    <mergeCell ref="V42:Y42"/>
    <mergeCell ref="B43:E43"/>
    <mergeCell ref="F43:I43"/>
    <mergeCell ref="B40:E40"/>
    <mergeCell ref="F40:I40"/>
    <mergeCell ref="J40:M40"/>
    <mergeCell ref="N40:Q40"/>
    <mergeCell ref="R40:U40"/>
    <mergeCell ref="V40:Y40"/>
    <mergeCell ref="V41:Y41"/>
    <mergeCell ref="N43:Q43"/>
    <mergeCell ref="R43:U43"/>
    <mergeCell ref="V43:Y43"/>
    <mergeCell ref="B44:E44"/>
    <mergeCell ref="F44:I44"/>
    <mergeCell ref="J44:M44"/>
    <mergeCell ref="N44:Q44"/>
    <mergeCell ref="R44:U44"/>
    <mergeCell ref="V44:Y44"/>
    <mergeCell ref="J43:M43"/>
    <mergeCell ref="B41:E41"/>
    <mergeCell ref="F41:I41"/>
    <mergeCell ref="J41:M41"/>
    <mergeCell ref="N41:Q41"/>
    <mergeCell ref="R41:U41"/>
    <mergeCell ref="B45:E45"/>
    <mergeCell ref="F45:I45"/>
    <mergeCell ref="J45:M45"/>
    <mergeCell ref="N45:Q45"/>
    <mergeCell ref="R45:U45"/>
    <mergeCell ref="V45:Y45"/>
    <mergeCell ref="B46:E46"/>
    <mergeCell ref="F46:I46"/>
    <mergeCell ref="J46:M46"/>
    <mergeCell ref="N46:Q46"/>
    <mergeCell ref="R46:U46"/>
    <mergeCell ref="V46:Y46"/>
    <mergeCell ref="B47:E47"/>
    <mergeCell ref="F47:I47"/>
    <mergeCell ref="J47:M47"/>
    <mergeCell ref="N47:Q47"/>
    <mergeCell ref="R47:U47"/>
    <mergeCell ref="V47:Y47"/>
    <mergeCell ref="B48:E48"/>
    <mergeCell ref="F48:I48"/>
    <mergeCell ref="J48:M48"/>
    <mergeCell ref="N48:Q48"/>
    <mergeCell ref="R48:U48"/>
    <mergeCell ref="V48:Y48"/>
    <mergeCell ref="B49:E49"/>
    <mergeCell ref="F49:I49"/>
    <mergeCell ref="J49:M49"/>
    <mergeCell ref="N49:Q49"/>
    <mergeCell ref="R49:U49"/>
    <mergeCell ref="V49:Y49"/>
    <mergeCell ref="B50:E50"/>
    <mergeCell ref="F50:I50"/>
    <mergeCell ref="J50:M50"/>
    <mergeCell ref="N50:Q50"/>
    <mergeCell ref="R50:U50"/>
    <mergeCell ref="V50:Y50"/>
    <mergeCell ref="B51:E51"/>
    <mergeCell ref="F51:I51"/>
    <mergeCell ref="J51:M51"/>
    <mergeCell ref="N51:Q51"/>
    <mergeCell ref="R51:U51"/>
    <mergeCell ref="V51:Y51"/>
    <mergeCell ref="B52:E52"/>
    <mergeCell ref="F52:I52"/>
    <mergeCell ref="J52:M52"/>
    <mergeCell ref="N52:Q52"/>
    <mergeCell ref="R52:U52"/>
    <mergeCell ref="V52:Y52"/>
    <mergeCell ref="B53:E53"/>
    <mergeCell ref="F53:I53"/>
    <mergeCell ref="J53:M53"/>
    <mergeCell ref="N53:Q53"/>
    <mergeCell ref="R53:U53"/>
    <mergeCell ref="V53:Y53"/>
    <mergeCell ref="B54:E54"/>
    <mergeCell ref="F54:I54"/>
    <mergeCell ref="J54:M54"/>
    <mergeCell ref="N54:Q54"/>
    <mergeCell ref="R54:U54"/>
    <mergeCell ref="V54:Y54"/>
    <mergeCell ref="B55:E55"/>
    <mergeCell ref="F55:I55"/>
    <mergeCell ref="J55:M55"/>
    <mergeCell ref="N55:Q55"/>
    <mergeCell ref="R55:U55"/>
    <mergeCell ref="V55:Y55"/>
    <mergeCell ref="B56:E56"/>
    <mergeCell ref="F56:I56"/>
    <mergeCell ref="J56:M56"/>
    <mergeCell ref="N56:Q56"/>
    <mergeCell ref="R56:U56"/>
    <mergeCell ref="V56:Y56"/>
    <mergeCell ref="B57:E57"/>
    <mergeCell ref="F57:I57"/>
    <mergeCell ref="J57:M57"/>
    <mergeCell ref="N57:Q57"/>
    <mergeCell ref="R57:U57"/>
    <mergeCell ref="V57:Y57"/>
    <mergeCell ref="B58:E58"/>
    <mergeCell ref="F58:I58"/>
    <mergeCell ref="J58:M58"/>
    <mergeCell ref="N58:Q58"/>
    <mergeCell ref="R58:U58"/>
    <mergeCell ref="V58:Y58"/>
    <mergeCell ref="B59:E59"/>
    <mergeCell ref="F59:I59"/>
    <mergeCell ref="J59:M59"/>
    <mergeCell ref="N59:Q59"/>
    <mergeCell ref="R59:U59"/>
    <mergeCell ref="V59:Y59"/>
    <mergeCell ref="B60:E60"/>
    <mergeCell ref="F60:I60"/>
    <mergeCell ref="J60:M60"/>
    <mergeCell ref="N60:Q60"/>
    <mergeCell ref="R60:U60"/>
    <mergeCell ref="V60:Y60"/>
    <mergeCell ref="B61:E61"/>
    <mergeCell ref="F61:I61"/>
    <mergeCell ref="J61:M61"/>
    <mergeCell ref="N61:Q61"/>
    <mergeCell ref="R61:U61"/>
    <mergeCell ref="V61:Y61"/>
    <mergeCell ref="B62:E62"/>
    <mergeCell ref="F62:I62"/>
    <mergeCell ref="J62:M62"/>
    <mergeCell ref="N62:Q62"/>
    <mergeCell ref="R62:U62"/>
    <mergeCell ref="V62:Y62"/>
    <mergeCell ref="B63:E63"/>
    <mergeCell ref="F63:I63"/>
    <mergeCell ref="J63:M63"/>
    <mergeCell ref="N63:Q63"/>
    <mergeCell ref="R63:U63"/>
    <mergeCell ref="V63:Y63"/>
    <mergeCell ref="B64:E64"/>
    <mergeCell ref="F64:I64"/>
    <mergeCell ref="J64:M64"/>
    <mergeCell ref="N64:Q64"/>
    <mergeCell ref="R64:U64"/>
    <mergeCell ref="V64:Y64"/>
    <mergeCell ref="A69:I69"/>
    <mergeCell ref="J69:M69"/>
    <mergeCell ref="N69:Q69"/>
    <mergeCell ref="R69:U69"/>
    <mergeCell ref="V69:Y69"/>
    <mergeCell ref="Z69:AI69"/>
    <mergeCell ref="B65:E65"/>
    <mergeCell ref="F65:I65"/>
    <mergeCell ref="J65:M65"/>
    <mergeCell ref="N65:Q65"/>
    <mergeCell ref="R65:U65"/>
    <mergeCell ref="V65:Y65"/>
    <mergeCell ref="B66:E66"/>
    <mergeCell ref="F66:I66"/>
    <mergeCell ref="J66:M66"/>
    <mergeCell ref="N66:Q66"/>
    <mergeCell ref="R66:U66"/>
    <mergeCell ref="V66:Y66"/>
    <mergeCell ref="J67:M67"/>
    <mergeCell ref="N67:Q67"/>
    <mergeCell ref="R67:U67"/>
    <mergeCell ref="V67:Y67"/>
    <mergeCell ref="Z67:AI67"/>
    <mergeCell ref="A68:I68"/>
    <mergeCell ref="J68:M68"/>
    <mergeCell ref="N68:Q68"/>
    <mergeCell ref="R68:U68"/>
    <mergeCell ref="V68:Y68"/>
    <mergeCell ref="Z68:AI68"/>
    <mergeCell ref="B78:G78"/>
    <mergeCell ref="A70:I70"/>
    <mergeCell ref="J70:M70"/>
    <mergeCell ref="N70:Q70"/>
    <mergeCell ref="R70:U70"/>
    <mergeCell ref="V70:Y70"/>
    <mergeCell ref="Z70:AI70"/>
    <mergeCell ref="A74:AI74"/>
    <mergeCell ref="A75:C75"/>
    <mergeCell ref="D75:J75"/>
    <mergeCell ref="K75:W75"/>
    <mergeCell ref="X75:AF75"/>
    <mergeCell ref="AG75:AI75"/>
    <mergeCell ref="A76:B76"/>
    <mergeCell ref="C76:S76"/>
    <mergeCell ref="T76:V76"/>
    <mergeCell ref="W76:Y76"/>
    <mergeCell ref="Z76:AI76"/>
    <mergeCell ref="B77:F77"/>
    <mergeCell ref="G77:K77"/>
    <mergeCell ref="L77:P77"/>
    <mergeCell ref="Q77:V77"/>
    <mergeCell ref="W77:AI77"/>
    <mergeCell ref="AG89:AG90"/>
    <mergeCell ref="AH89:AI90"/>
    <mergeCell ref="B90:F90"/>
    <mergeCell ref="G90:K90"/>
    <mergeCell ref="L90:P90"/>
    <mergeCell ref="Q90:U90"/>
    <mergeCell ref="V90:Z90"/>
    <mergeCell ref="AA90:AE90"/>
    <mergeCell ref="H78:M78"/>
    <mergeCell ref="N78:V78"/>
    <mergeCell ref="W78:AE78"/>
    <mergeCell ref="AH78:AI78"/>
    <mergeCell ref="B79:AE79"/>
    <mergeCell ref="AH79:AI79"/>
    <mergeCell ref="B80:AE80"/>
    <mergeCell ref="AH80:AI80"/>
    <mergeCell ref="AH87:AI87"/>
    <mergeCell ref="B86:AE86"/>
    <mergeCell ref="AH86:AI86"/>
    <mergeCell ref="B87:AE87"/>
    <mergeCell ref="B81:AE81"/>
    <mergeCell ref="AH81:AI81"/>
    <mergeCell ref="B82:AE82"/>
    <mergeCell ref="AH82:AI82"/>
    <mergeCell ref="B88:AE88"/>
    <mergeCell ref="AH88:AI88"/>
    <mergeCell ref="L91:P91"/>
    <mergeCell ref="Q91:U91"/>
    <mergeCell ref="V91:Z91"/>
    <mergeCell ref="AA91:AE91"/>
    <mergeCell ref="B89:AE89"/>
    <mergeCell ref="AF89:AF90"/>
    <mergeCell ref="B83:AE83"/>
    <mergeCell ref="AH83:AI83"/>
    <mergeCell ref="B84:AE84"/>
    <mergeCell ref="AH84:AI84"/>
    <mergeCell ref="B85:AE85"/>
    <mergeCell ref="AH85:AI85"/>
    <mergeCell ref="AG91:AG92"/>
    <mergeCell ref="AH91:AI92"/>
    <mergeCell ref="B92:F92"/>
    <mergeCell ref="G92:K92"/>
    <mergeCell ref="L92:P92"/>
    <mergeCell ref="Q92:U92"/>
    <mergeCell ref="V92:Z92"/>
    <mergeCell ref="AA92:AE92"/>
    <mergeCell ref="B91:F91"/>
    <mergeCell ref="G91:K91"/>
    <mergeCell ref="AA96:AE96"/>
    <mergeCell ref="AH96:AI96"/>
    <mergeCell ref="B95:F95"/>
    <mergeCell ref="G95:K95"/>
    <mergeCell ref="AA94:AE94"/>
    <mergeCell ref="AH94:AI94"/>
    <mergeCell ref="B93:F93"/>
    <mergeCell ref="G93:K93"/>
    <mergeCell ref="L93:P93"/>
    <mergeCell ref="Q93:U93"/>
    <mergeCell ref="V93:Z93"/>
    <mergeCell ref="AA93:AE93"/>
    <mergeCell ref="AH93:AI93"/>
    <mergeCell ref="B94:F94"/>
    <mergeCell ref="G94:K94"/>
    <mergeCell ref="L94:P94"/>
    <mergeCell ref="Q94:U94"/>
    <mergeCell ref="V94:Z94"/>
    <mergeCell ref="AA98:AE98"/>
    <mergeCell ref="AH98:AI98"/>
    <mergeCell ref="B97:F97"/>
    <mergeCell ref="G97:K97"/>
    <mergeCell ref="L97:P97"/>
    <mergeCell ref="Q97:U97"/>
    <mergeCell ref="V97:Z97"/>
    <mergeCell ref="AA97:AE97"/>
    <mergeCell ref="L95:P95"/>
    <mergeCell ref="Q95:U95"/>
    <mergeCell ref="V95:Z95"/>
    <mergeCell ref="AA95:AE95"/>
    <mergeCell ref="AH97:AI97"/>
    <mergeCell ref="B98:F98"/>
    <mergeCell ref="G98:K98"/>
    <mergeCell ref="L98:P98"/>
    <mergeCell ref="Q98:U98"/>
    <mergeCell ref="V98:Z98"/>
    <mergeCell ref="AH95:AI95"/>
    <mergeCell ref="B96:F96"/>
    <mergeCell ref="G96:K96"/>
    <mergeCell ref="L96:P96"/>
    <mergeCell ref="Q96:U96"/>
    <mergeCell ref="V96:Z96"/>
    <mergeCell ref="L99:P99"/>
    <mergeCell ref="Q99:U99"/>
    <mergeCell ref="V99:Z99"/>
    <mergeCell ref="AA99:AE99"/>
    <mergeCell ref="AH101:AI101"/>
    <mergeCell ref="B102:F102"/>
    <mergeCell ref="G102:K102"/>
    <mergeCell ref="L102:P102"/>
    <mergeCell ref="Q102:U102"/>
    <mergeCell ref="V102:Z102"/>
    <mergeCell ref="AH99:AI99"/>
    <mergeCell ref="B100:F100"/>
    <mergeCell ref="G100:K100"/>
    <mergeCell ref="L100:P100"/>
    <mergeCell ref="Q100:U100"/>
    <mergeCell ref="V100:Z100"/>
    <mergeCell ref="AA100:AE100"/>
    <mergeCell ref="AH100:AI100"/>
    <mergeCell ref="B99:F99"/>
    <mergeCell ref="G99:K99"/>
    <mergeCell ref="AA104:AE104"/>
    <mergeCell ref="AH104:AI104"/>
    <mergeCell ref="B103:F103"/>
    <mergeCell ref="G103:K103"/>
    <mergeCell ref="AA102:AE102"/>
    <mergeCell ref="AH102:AI102"/>
    <mergeCell ref="B101:F101"/>
    <mergeCell ref="G101:K101"/>
    <mergeCell ref="L101:P101"/>
    <mergeCell ref="Q101:U101"/>
    <mergeCell ref="V101:Z101"/>
    <mergeCell ref="AA101:AE101"/>
    <mergeCell ref="AA106:AE106"/>
    <mergeCell ref="AH106:AI106"/>
    <mergeCell ref="B105:F105"/>
    <mergeCell ref="G105:K105"/>
    <mergeCell ref="L105:P105"/>
    <mergeCell ref="Q105:U105"/>
    <mergeCell ref="V105:Z105"/>
    <mergeCell ref="AA105:AE105"/>
    <mergeCell ref="L103:P103"/>
    <mergeCell ref="Q103:U103"/>
    <mergeCell ref="V103:Z103"/>
    <mergeCell ref="AA103:AE103"/>
    <mergeCell ref="AH105:AI105"/>
    <mergeCell ref="B106:F106"/>
    <mergeCell ref="G106:K106"/>
    <mergeCell ref="L106:P106"/>
    <mergeCell ref="Q106:U106"/>
    <mergeCell ref="V106:Z106"/>
    <mergeCell ref="AH103:AI103"/>
    <mergeCell ref="B104:F104"/>
    <mergeCell ref="G104:K104"/>
    <mergeCell ref="L104:P104"/>
    <mergeCell ref="Q104:U104"/>
    <mergeCell ref="V104:Z104"/>
    <mergeCell ref="Q107:U107"/>
    <mergeCell ref="V107:Z107"/>
    <mergeCell ref="AA107:AE107"/>
    <mergeCell ref="B112:M112"/>
    <mergeCell ref="N112:Y112"/>
    <mergeCell ref="Z112:AI112"/>
    <mergeCell ref="AH107:AI107"/>
    <mergeCell ref="A108:AI108"/>
    <mergeCell ref="A109:C109"/>
    <mergeCell ref="D109:J109"/>
    <mergeCell ref="K109:W109"/>
    <mergeCell ref="X109:AF109"/>
    <mergeCell ref="AG109:AI109"/>
    <mergeCell ref="B107:F107"/>
    <mergeCell ref="G107:K107"/>
    <mergeCell ref="L107:P107"/>
    <mergeCell ref="A110:B110"/>
    <mergeCell ref="C110:S110"/>
    <mergeCell ref="T110:V110"/>
    <mergeCell ref="W110:Y110"/>
    <mergeCell ref="Z110:AI110"/>
    <mergeCell ref="A111:AI111"/>
    <mergeCell ref="Z113:AI113"/>
    <mergeCell ref="Z114:AI139"/>
    <mergeCell ref="B115:E115"/>
    <mergeCell ref="F115:I115"/>
    <mergeCell ref="J115:M115"/>
    <mergeCell ref="N115:Q115"/>
    <mergeCell ref="R115:U115"/>
    <mergeCell ref="V115:Y115"/>
    <mergeCell ref="B116:E116"/>
    <mergeCell ref="F116:I116"/>
    <mergeCell ref="B113:E113"/>
    <mergeCell ref="F113:I113"/>
    <mergeCell ref="J113:M113"/>
    <mergeCell ref="N113:Q113"/>
    <mergeCell ref="R113:U113"/>
    <mergeCell ref="V113:Y113"/>
    <mergeCell ref="V114:Y114"/>
    <mergeCell ref="N116:Q116"/>
    <mergeCell ref="R116:U116"/>
    <mergeCell ref="V116:Y116"/>
    <mergeCell ref="B117:E117"/>
    <mergeCell ref="F117:I117"/>
    <mergeCell ref="J117:M117"/>
    <mergeCell ref="N117:Q117"/>
    <mergeCell ref="R117:U117"/>
    <mergeCell ref="V117:Y117"/>
    <mergeCell ref="J116:M116"/>
    <mergeCell ref="B114:E114"/>
    <mergeCell ref="F114:I114"/>
    <mergeCell ref="J114:M114"/>
    <mergeCell ref="N114:Q114"/>
    <mergeCell ref="R114:U114"/>
    <mergeCell ref="B118:E118"/>
    <mergeCell ref="F118:I118"/>
    <mergeCell ref="J118:M118"/>
    <mergeCell ref="N118:Q118"/>
    <mergeCell ref="R118:U118"/>
    <mergeCell ref="V118:Y118"/>
    <mergeCell ref="B119:E119"/>
    <mergeCell ref="F119:I119"/>
    <mergeCell ref="J119:M119"/>
    <mergeCell ref="N119:Q119"/>
    <mergeCell ref="R119:U119"/>
    <mergeCell ref="V119:Y119"/>
    <mergeCell ref="B120:E120"/>
    <mergeCell ref="F120:I120"/>
    <mergeCell ref="J120:M120"/>
    <mergeCell ref="N120:Q120"/>
    <mergeCell ref="R120:U120"/>
    <mergeCell ref="V120:Y120"/>
    <mergeCell ref="B121:E121"/>
    <mergeCell ref="F121:I121"/>
    <mergeCell ref="J121:M121"/>
    <mergeCell ref="N121:Q121"/>
    <mergeCell ref="R121:U121"/>
    <mergeCell ref="V121:Y121"/>
    <mergeCell ref="B122:E122"/>
    <mergeCell ref="F122:I122"/>
    <mergeCell ref="J122:M122"/>
    <mergeCell ref="N122:Q122"/>
    <mergeCell ref="R122:U122"/>
    <mergeCell ref="V122:Y122"/>
    <mergeCell ref="B123:E123"/>
    <mergeCell ref="F123:I123"/>
    <mergeCell ref="J123:M123"/>
    <mergeCell ref="N123:Q123"/>
    <mergeCell ref="R123:U123"/>
    <mergeCell ref="V123:Y123"/>
    <mergeCell ref="B124:E124"/>
    <mergeCell ref="F124:I124"/>
    <mergeCell ref="J124:M124"/>
    <mergeCell ref="N124:Q124"/>
    <mergeCell ref="R124:U124"/>
    <mergeCell ref="V124:Y124"/>
    <mergeCell ref="B125:E125"/>
    <mergeCell ref="F125:I125"/>
    <mergeCell ref="J125:M125"/>
    <mergeCell ref="N125:Q125"/>
    <mergeCell ref="R125:U125"/>
    <mergeCell ref="V125:Y125"/>
    <mergeCell ref="B126:E126"/>
    <mergeCell ref="F126:I126"/>
    <mergeCell ref="J126:M126"/>
    <mergeCell ref="N126:Q126"/>
    <mergeCell ref="R126:U126"/>
    <mergeCell ref="V126:Y126"/>
    <mergeCell ref="B127:E127"/>
    <mergeCell ref="F127:I127"/>
    <mergeCell ref="J127:M127"/>
    <mergeCell ref="N127:Q127"/>
    <mergeCell ref="R127:U127"/>
    <mergeCell ref="V127:Y127"/>
    <mergeCell ref="B128:E128"/>
    <mergeCell ref="F128:I128"/>
    <mergeCell ref="J128:M128"/>
    <mergeCell ref="N128:Q128"/>
    <mergeCell ref="R128:U128"/>
    <mergeCell ref="V128:Y128"/>
    <mergeCell ref="B129:E129"/>
    <mergeCell ref="F129:I129"/>
    <mergeCell ref="J129:M129"/>
    <mergeCell ref="N129:Q129"/>
    <mergeCell ref="R129:U129"/>
    <mergeCell ref="V129:Y129"/>
    <mergeCell ref="B130:E130"/>
    <mergeCell ref="F130:I130"/>
    <mergeCell ref="J130:M130"/>
    <mergeCell ref="N130:Q130"/>
    <mergeCell ref="R130:U130"/>
    <mergeCell ref="V130:Y130"/>
    <mergeCell ref="B131:E131"/>
    <mergeCell ref="F131:I131"/>
    <mergeCell ref="J131:M131"/>
    <mergeCell ref="N131:Q131"/>
    <mergeCell ref="R131:U131"/>
    <mergeCell ref="V131:Y131"/>
    <mergeCell ref="B132:E132"/>
    <mergeCell ref="F132:I132"/>
    <mergeCell ref="J132:M132"/>
    <mergeCell ref="N132:Q132"/>
    <mergeCell ref="R132:U132"/>
    <mergeCell ref="V132:Y132"/>
    <mergeCell ref="B133:E133"/>
    <mergeCell ref="F133:I133"/>
    <mergeCell ref="J133:M133"/>
    <mergeCell ref="N133:Q133"/>
    <mergeCell ref="R133:U133"/>
    <mergeCell ref="V133:Y133"/>
    <mergeCell ref="B134:E134"/>
    <mergeCell ref="F134:I134"/>
    <mergeCell ref="J134:M134"/>
    <mergeCell ref="N134:Q134"/>
    <mergeCell ref="R134:U134"/>
    <mergeCell ref="V134:Y134"/>
    <mergeCell ref="B135:E135"/>
    <mergeCell ref="F135:I135"/>
    <mergeCell ref="J135:M135"/>
    <mergeCell ref="N135:Q135"/>
    <mergeCell ref="R135:U135"/>
    <mergeCell ref="V135:Y135"/>
    <mergeCell ref="B136:E136"/>
    <mergeCell ref="F136:I136"/>
    <mergeCell ref="J136:M136"/>
    <mergeCell ref="N136:Q136"/>
    <mergeCell ref="R136:U136"/>
    <mergeCell ref="V136:Y136"/>
    <mergeCell ref="B137:E137"/>
    <mergeCell ref="F137:I137"/>
    <mergeCell ref="J137:M137"/>
    <mergeCell ref="N137:Q137"/>
    <mergeCell ref="R137:U137"/>
    <mergeCell ref="V137:Y137"/>
    <mergeCell ref="B138:E138"/>
    <mergeCell ref="F138:I138"/>
    <mergeCell ref="J138:M138"/>
    <mergeCell ref="N138:Q138"/>
    <mergeCell ref="R138:U138"/>
    <mergeCell ref="V138:Y138"/>
    <mergeCell ref="B139:E139"/>
    <mergeCell ref="F139:I139"/>
    <mergeCell ref="J139:M139"/>
    <mergeCell ref="N139:Q139"/>
    <mergeCell ref="R139:U139"/>
    <mergeCell ref="V139:Y139"/>
    <mergeCell ref="J140:M140"/>
    <mergeCell ref="N140:Q140"/>
    <mergeCell ref="R140:U140"/>
    <mergeCell ref="V140:Y140"/>
    <mergeCell ref="A143:I143"/>
    <mergeCell ref="J143:M143"/>
    <mergeCell ref="N143:Q143"/>
    <mergeCell ref="R143:U143"/>
    <mergeCell ref="V143:Y143"/>
    <mergeCell ref="Z143:AI143"/>
    <mergeCell ref="Z140:AI140"/>
    <mergeCell ref="A141:I141"/>
    <mergeCell ref="J141:M141"/>
    <mergeCell ref="N141:Q141"/>
    <mergeCell ref="R141:U141"/>
    <mergeCell ref="V141:Y141"/>
    <mergeCell ref="Z141:AI141"/>
    <mergeCell ref="A142:I142"/>
    <mergeCell ref="J142:M142"/>
    <mergeCell ref="N142:Q142"/>
    <mergeCell ref="R142:U142"/>
    <mergeCell ref="V142:Y142"/>
    <mergeCell ref="Z142:AI14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0CF91-8720-481B-8455-213B2ADF9572}">
  <sheetPr codeName="Sheet26">
    <pageSetUpPr fitToPage="1"/>
  </sheetPr>
  <dimension ref="A1:AM63"/>
  <sheetViews>
    <sheetView view="pageBreakPreview" zoomScale="110" zoomScaleNormal="100" zoomScaleSheetLayoutView="110" workbookViewId="0">
      <selection activeCell="B53" sqref="B53:K53"/>
    </sheetView>
  </sheetViews>
  <sheetFormatPr baseColWidth="10" defaultColWidth="8.5" defaultRowHeight="13"/>
  <cols>
    <col min="1" max="1" width="12.1640625" style="37" customWidth="1"/>
    <col min="2" max="2" width="6.83203125" style="42" customWidth="1"/>
    <col min="3" max="3" width="10.5" style="37" customWidth="1"/>
    <col min="4" max="4" width="7.6640625" style="37" customWidth="1"/>
    <col min="5" max="5" width="10.6640625" style="37" customWidth="1"/>
    <col min="6" max="6" width="15.1640625" style="37" customWidth="1"/>
    <col min="7" max="7" width="16.1640625" style="37" customWidth="1"/>
    <col min="8" max="12" width="7.6640625" style="37" customWidth="1"/>
    <col min="13" max="16384" width="8.5" style="37"/>
  </cols>
  <sheetData>
    <row r="1" spans="1:13" ht="18">
      <c r="A1" s="2086" t="s">
        <v>3040</v>
      </c>
      <c r="B1" s="2086"/>
      <c r="C1" s="2086"/>
      <c r="D1" s="2086"/>
      <c r="E1" s="2086"/>
      <c r="F1" s="2086"/>
      <c r="G1" s="2086"/>
      <c r="H1" s="2086"/>
      <c r="I1" s="2086"/>
      <c r="J1" s="2086"/>
      <c r="K1" s="2086"/>
      <c r="L1" s="2086"/>
      <c r="M1" s="1625"/>
    </row>
    <row r="2" spans="1:13">
      <c r="A2" s="2473" t="s">
        <v>3067</v>
      </c>
      <c r="B2" s="2473"/>
      <c r="C2" s="2473"/>
      <c r="D2" s="2473"/>
      <c r="E2" s="2473"/>
      <c r="F2" s="2473"/>
      <c r="G2" s="2473"/>
      <c r="H2" s="2473"/>
      <c r="I2" s="2473"/>
      <c r="J2" s="2473"/>
      <c r="K2" s="2473"/>
      <c r="L2" s="2473"/>
      <c r="M2" s="1624"/>
    </row>
    <row r="3" spans="1:13">
      <c r="A3" s="2440" t="s">
        <v>3038</v>
      </c>
      <c r="B3" s="2440"/>
      <c r="C3" s="2441"/>
      <c r="D3" s="2442"/>
      <c r="E3" s="2442"/>
      <c r="F3" s="1615" t="s">
        <v>3036</v>
      </c>
      <c r="G3" s="2441"/>
      <c r="H3" s="2442"/>
      <c r="I3" s="2442"/>
      <c r="J3" s="1615" t="s">
        <v>27</v>
      </c>
      <c r="K3" s="2443"/>
      <c r="L3" s="2443"/>
    </row>
    <row r="4" spans="1:13">
      <c r="A4" s="2451"/>
      <c r="B4" s="2451"/>
      <c r="C4" s="2452"/>
      <c r="D4" s="2452"/>
      <c r="E4" s="2452"/>
      <c r="F4" s="2451"/>
      <c r="G4" s="2452"/>
      <c r="H4" s="2452"/>
      <c r="I4" s="2452"/>
      <c r="J4" s="2451"/>
      <c r="K4" s="2452"/>
      <c r="L4" s="2452"/>
    </row>
    <row r="5" spans="1:13" ht="14">
      <c r="A5" s="1614" t="s">
        <v>3035</v>
      </c>
      <c r="B5" s="1614" t="s">
        <v>3034</v>
      </c>
      <c r="C5" s="1614" t="s">
        <v>3033</v>
      </c>
      <c r="D5" s="1614" t="s">
        <v>3032</v>
      </c>
      <c r="E5" s="1614" t="s">
        <v>3031</v>
      </c>
      <c r="F5" s="1614" t="s">
        <v>3030</v>
      </c>
      <c r="G5" s="1614" t="s">
        <v>3029</v>
      </c>
      <c r="H5" s="2453" t="s">
        <v>3028</v>
      </c>
      <c r="I5" s="2454"/>
      <c r="J5" s="2454"/>
      <c r="K5" s="2454"/>
      <c r="L5" s="2455"/>
    </row>
    <row r="6" spans="1:13">
      <c r="A6" s="2456" t="s">
        <v>3027</v>
      </c>
      <c r="B6" s="2456" t="s">
        <v>3026</v>
      </c>
      <c r="C6" s="2456" t="s">
        <v>3025</v>
      </c>
      <c r="D6" s="2456" t="s">
        <v>3024</v>
      </c>
      <c r="E6" s="2456" t="s">
        <v>3023</v>
      </c>
      <c r="F6" s="2456" t="s">
        <v>3022</v>
      </c>
      <c r="G6" s="2461" t="s">
        <v>3021</v>
      </c>
      <c r="H6" s="2462" t="s">
        <v>3020</v>
      </c>
      <c r="I6" s="2463"/>
      <c r="J6" s="2463"/>
      <c r="K6" s="2463"/>
      <c r="L6" s="2464"/>
    </row>
    <row r="7" spans="1:13">
      <c r="A7" s="2456"/>
      <c r="B7" s="2456"/>
      <c r="C7" s="2456"/>
      <c r="D7" s="2456"/>
      <c r="E7" s="2456"/>
      <c r="F7" s="2456"/>
      <c r="G7" s="2461"/>
      <c r="H7" s="2467" t="s">
        <v>3066</v>
      </c>
      <c r="I7" s="2468"/>
      <c r="J7" s="2468"/>
      <c r="K7" s="2468"/>
      <c r="L7" s="2469"/>
    </row>
    <row r="8" spans="1:13">
      <c r="A8" s="2456"/>
      <c r="B8" s="2456"/>
      <c r="C8" s="2456"/>
      <c r="D8" s="2456"/>
      <c r="E8" s="2456"/>
      <c r="F8" s="2456"/>
      <c r="G8" s="1704" t="s">
        <v>3018</v>
      </c>
      <c r="H8" s="1612" t="s">
        <v>3017</v>
      </c>
      <c r="I8" s="1612" t="s">
        <v>3017</v>
      </c>
      <c r="J8" s="1612" t="s">
        <v>3017</v>
      </c>
      <c r="K8" s="1612" t="s">
        <v>3017</v>
      </c>
      <c r="L8" s="1612" t="s">
        <v>3017</v>
      </c>
    </row>
    <row r="9" spans="1:13" s="1407" customFormat="1" ht="14" thickBot="1">
      <c r="A9" s="2457"/>
      <c r="B9" s="2457"/>
      <c r="C9" s="2457"/>
      <c r="D9" s="2457"/>
      <c r="E9" s="2457"/>
      <c r="F9" s="2457"/>
      <c r="G9" s="1610" t="s">
        <v>3016</v>
      </c>
      <c r="H9" s="1610"/>
      <c r="I9" s="1610"/>
      <c r="J9" s="1610"/>
      <c r="K9" s="1610"/>
      <c r="L9" s="1610"/>
    </row>
    <row r="10" spans="1:13" s="1407" customFormat="1" ht="14" thickTop="1">
      <c r="A10" s="1609"/>
      <c r="B10" s="1608"/>
      <c r="C10" s="1607"/>
      <c r="D10" s="1607"/>
      <c r="E10" s="1607"/>
      <c r="F10" s="1607"/>
      <c r="G10" s="1606"/>
      <c r="H10" s="1605"/>
      <c r="I10" s="1605"/>
      <c r="J10" s="1605"/>
      <c r="K10" s="1605"/>
      <c r="L10" s="1605"/>
    </row>
    <row r="11" spans="1:13" s="1407" customFormat="1">
      <c r="A11" s="1604"/>
      <c r="B11" s="1603"/>
      <c r="C11" s="1601"/>
      <c r="D11" s="1601"/>
      <c r="E11" s="1601"/>
      <c r="F11" s="1601"/>
      <c r="G11" s="1602"/>
      <c r="H11" s="1601"/>
      <c r="I11" s="1601"/>
      <c r="J11" s="1601"/>
      <c r="K11" s="1601"/>
      <c r="L11" s="1601"/>
    </row>
    <row r="12" spans="1:13" s="1407" customFormat="1">
      <c r="A12" s="1604"/>
      <c r="B12" s="1603"/>
      <c r="C12" s="1601"/>
      <c r="D12" s="1601"/>
      <c r="E12" s="1601"/>
      <c r="F12" s="1601"/>
      <c r="G12" s="1602"/>
      <c r="H12" s="1601"/>
      <c r="I12" s="1601"/>
      <c r="J12" s="1601"/>
      <c r="K12" s="1601"/>
      <c r="L12" s="1601"/>
    </row>
    <row r="13" spans="1:13" s="1407" customFormat="1">
      <c r="A13" s="1604"/>
      <c r="B13" s="1603"/>
      <c r="C13" s="1601"/>
      <c r="D13" s="1601"/>
      <c r="E13" s="1601"/>
      <c r="F13" s="1601"/>
      <c r="G13" s="1602"/>
      <c r="H13" s="1601"/>
      <c r="I13" s="1601"/>
      <c r="J13" s="1601"/>
      <c r="K13" s="1601"/>
      <c r="L13" s="1601"/>
    </row>
    <row r="14" spans="1:13" s="1407" customFormat="1">
      <c r="A14" s="1604"/>
      <c r="B14" s="1603"/>
      <c r="C14" s="1601"/>
      <c r="D14" s="1601"/>
      <c r="E14" s="1601"/>
      <c r="F14" s="1601"/>
      <c r="G14" s="1602"/>
      <c r="H14" s="1601"/>
      <c r="I14" s="1601"/>
      <c r="J14" s="1601"/>
      <c r="K14" s="1601"/>
      <c r="L14" s="1601"/>
    </row>
    <row r="15" spans="1:13" s="1407" customFormat="1">
      <c r="A15" s="1604"/>
      <c r="B15" s="1603"/>
      <c r="C15" s="1601"/>
      <c r="D15" s="1601"/>
      <c r="E15" s="1601"/>
      <c r="F15" s="1601"/>
      <c r="G15" s="1602"/>
      <c r="H15" s="1601"/>
      <c r="I15" s="1601"/>
      <c r="J15" s="1601"/>
      <c r="K15" s="1601"/>
      <c r="L15" s="1601"/>
    </row>
    <row r="16" spans="1:13" s="1407" customFormat="1">
      <c r="A16" s="1604"/>
      <c r="B16" s="1603"/>
      <c r="C16" s="1601"/>
      <c r="D16" s="1601"/>
      <c r="E16" s="1601"/>
      <c r="F16" s="1601"/>
      <c r="G16" s="1602"/>
      <c r="H16" s="1601"/>
      <c r="I16" s="1601"/>
      <c r="J16" s="1601"/>
      <c r="K16" s="1601"/>
      <c r="L16" s="1601"/>
    </row>
    <row r="17" spans="1:39" s="1407" customFormat="1">
      <c r="A17" s="1604"/>
      <c r="B17" s="1603"/>
      <c r="C17" s="1601"/>
      <c r="D17" s="1601"/>
      <c r="E17" s="1601"/>
      <c r="F17" s="1601"/>
      <c r="G17" s="1602"/>
      <c r="H17" s="1601"/>
      <c r="I17" s="1601"/>
      <c r="J17" s="1601"/>
      <c r="K17" s="1601"/>
      <c r="L17" s="1601"/>
    </row>
    <row r="18" spans="1:39" s="1407" customFormat="1" ht="32.25" customHeight="1">
      <c r="A18" s="2444" t="s">
        <v>3065</v>
      </c>
      <c r="B18" s="2445"/>
      <c r="C18" s="2445"/>
      <c r="D18" s="2445"/>
      <c r="E18" s="2446"/>
      <c r="F18" s="2450" t="s">
        <v>3064</v>
      </c>
      <c r="G18" s="2450"/>
      <c r="H18" s="1600"/>
      <c r="I18" s="1598"/>
      <c r="J18" s="1598"/>
      <c r="K18" s="1598"/>
      <c r="L18" s="1598"/>
    </row>
    <row r="19" spans="1:39" s="1407" customFormat="1" ht="32.25" customHeight="1">
      <c r="A19" s="2447"/>
      <c r="B19" s="2448"/>
      <c r="C19" s="2448"/>
      <c r="D19" s="2448"/>
      <c r="E19" s="2449"/>
      <c r="F19" s="2450" t="s">
        <v>3005</v>
      </c>
      <c r="G19" s="2450"/>
      <c r="H19" s="1599"/>
      <c r="I19" s="1598"/>
      <c r="J19" s="1598"/>
      <c r="K19" s="1598"/>
      <c r="L19" s="1598"/>
    </row>
    <row r="20" spans="1:39" s="1407" customFormat="1" ht="18" customHeight="1">
      <c r="A20" s="1623" t="s">
        <v>3063</v>
      </c>
      <c r="B20" s="1622"/>
      <c r="C20" s="1622"/>
      <c r="D20" s="1622"/>
      <c r="E20" s="1622"/>
      <c r="F20" s="1622"/>
      <c r="G20" s="1622"/>
      <c r="H20" s="1622"/>
      <c r="I20" s="1622"/>
      <c r="J20" s="1622"/>
      <c r="K20" s="1622"/>
      <c r="L20" s="1622"/>
      <c r="M20" s="37"/>
      <c r="N20" s="37"/>
    </row>
    <row r="21" spans="1:39" s="1407" customFormat="1">
      <c r="A21" s="2471"/>
      <c r="B21" s="2471"/>
      <c r="C21" s="2471" t="s">
        <v>2705</v>
      </c>
      <c r="D21" s="2471"/>
      <c r="E21" s="2471"/>
      <c r="F21" s="2471" t="s">
        <v>2690</v>
      </c>
      <c r="G21" s="2471"/>
      <c r="H21" s="2471" t="s">
        <v>2689</v>
      </c>
      <c r="I21" s="2471"/>
      <c r="J21" s="2471"/>
      <c r="K21" s="2471" t="s">
        <v>2704</v>
      </c>
      <c r="L21" s="2471"/>
      <c r="N21" s="36"/>
    </row>
    <row r="22" spans="1:39" s="1616" customFormat="1" ht="32.25" customHeight="1">
      <c r="A22" s="1408" t="s">
        <v>3062</v>
      </c>
      <c r="B22" s="1408"/>
      <c r="C22" s="2066"/>
      <c r="D22" s="2067"/>
      <c r="E22" s="2068"/>
      <c r="F22" s="2066"/>
      <c r="G22" s="2068"/>
      <c r="H22" s="2066"/>
      <c r="I22" s="2067"/>
      <c r="J22" s="2068"/>
      <c r="K22" s="2065"/>
      <c r="L22" s="2065"/>
      <c r="M22" s="37"/>
      <c r="N22" s="37"/>
    </row>
    <row r="23" spans="1:39" s="1616" customFormat="1" ht="32.25" customHeight="1">
      <c r="A23" s="1408" t="s">
        <v>3061</v>
      </c>
      <c r="B23" s="1408"/>
      <c r="C23" s="2066"/>
      <c r="D23" s="2067"/>
      <c r="E23" s="2068"/>
      <c r="F23" s="2066"/>
      <c r="G23" s="2068"/>
      <c r="H23" s="2066"/>
      <c r="I23" s="2067"/>
      <c r="J23" s="2068"/>
      <c r="K23" s="2065"/>
      <c r="L23" s="2065"/>
      <c r="M23" s="37"/>
      <c r="N23" s="37"/>
    </row>
    <row r="24" spans="1:39" s="1616" customFormat="1" ht="32.25" customHeight="1">
      <c r="A24" s="1408" t="s">
        <v>3060</v>
      </c>
      <c r="B24" s="1408"/>
      <c r="C24" s="2066"/>
      <c r="D24" s="2067"/>
      <c r="E24" s="2068"/>
      <c r="F24" s="2066"/>
      <c r="G24" s="2068"/>
      <c r="H24" s="2066"/>
      <c r="I24" s="2067"/>
      <c r="J24" s="2068"/>
      <c r="K24" s="2065"/>
      <c r="L24" s="2065"/>
      <c r="M24" s="37"/>
      <c r="N24" s="37"/>
    </row>
    <row r="25" spans="1:39" s="1616" customFormat="1">
      <c r="A25" s="37" t="s">
        <v>3059</v>
      </c>
      <c r="B25" s="37"/>
      <c r="C25" s="37"/>
      <c r="D25" s="37"/>
      <c r="E25" s="37"/>
      <c r="F25" s="37"/>
      <c r="G25" s="37"/>
      <c r="H25" s="37"/>
      <c r="I25" s="37"/>
      <c r="J25" s="37"/>
      <c r="K25" s="37"/>
      <c r="L25" s="37"/>
      <c r="M25" s="37"/>
      <c r="N25" s="37"/>
    </row>
    <row r="26" spans="1:39" ht="17.25" customHeight="1">
      <c r="A26" s="2472" t="s">
        <v>3058</v>
      </c>
      <c r="B26" s="2472"/>
      <c r="C26" s="2472"/>
      <c r="D26" s="2472"/>
      <c r="E26" s="2472"/>
      <c r="F26" s="2472"/>
      <c r="G26" s="2472"/>
      <c r="H26" s="2472"/>
      <c r="I26" s="2472"/>
      <c r="J26" s="2472"/>
      <c r="K26" s="2472"/>
      <c r="L26" s="2472"/>
      <c r="M26" s="1407"/>
      <c r="N26" s="1407"/>
    </row>
    <row r="27" spans="1:39" s="1616" customFormat="1">
      <c r="A27" s="1621"/>
      <c r="B27" s="1621"/>
      <c r="C27" s="1621"/>
      <c r="D27" s="1621"/>
      <c r="E27" s="1621"/>
      <c r="F27" s="1620"/>
      <c r="G27" s="1620"/>
      <c r="H27" s="1619"/>
      <c r="I27" s="1618"/>
      <c r="J27" s="1618"/>
      <c r="K27" s="1618"/>
      <c r="L27" s="1618"/>
      <c r="M27" s="1407"/>
      <c r="N27" s="1407"/>
    </row>
    <row r="28" spans="1:39" s="1616" customFormat="1" ht="18">
      <c r="A28" s="2470" t="s">
        <v>3057</v>
      </c>
      <c r="B28" s="2470"/>
      <c r="C28" s="2470"/>
      <c r="D28" s="2470"/>
      <c r="E28" s="2470"/>
      <c r="F28" s="2470"/>
      <c r="G28" s="2470"/>
      <c r="H28" s="2470"/>
      <c r="I28" s="2470"/>
      <c r="J28" s="2470"/>
      <c r="K28" s="2470"/>
      <c r="L28" s="2470"/>
    </row>
    <row r="29" spans="1:39" s="1616" customFormat="1" ht="14">
      <c r="A29" s="2436" t="s">
        <v>3056</v>
      </c>
      <c r="B29" s="2436"/>
      <c r="C29" s="2436"/>
      <c r="D29" s="2436"/>
      <c r="E29" s="2436"/>
      <c r="F29" s="2436"/>
      <c r="G29" s="2436"/>
      <c r="H29" s="2436"/>
      <c r="I29" s="2436"/>
      <c r="J29" s="2436"/>
      <c r="K29" s="2436"/>
      <c r="L29" s="2436"/>
      <c r="O29" s="1617"/>
      <c r="P29" s="1617"/>
      <c r="Q29" s="1617"/>
      <c r="R29" s="1617"/>
      <c r="S29" s="1617"/>
      <c r="T29" s="1617"/>
      <c r="U29" s="1617"/>
      <c r="V29" s="1617"/>
      <c r="W29" s="1617"/>
      <c r="X29" s="1617"/>
      <c r="Y29" s="1617"/>
      <c r="Z29" s="1617"/>
      <c r="AA29" s="1617"/>
      <c r="AB29" s="1617"/>
      <c r="AC29" s="1617"/>
      <c r="AD29" s="1617"/>
      <c r="AE29" s="1617"/>
      <c r="AF29" s="1617"/>
      <c r="AG29" s="1617"/>
      <c r="AH29" s="1617"/>
      <c r="AI29" s="1617"/>
      <c r="AJ29" s="1617"/>
      <c r="AK29" s="1617"/>
      <c r="AL29" s="1617"/>
      <c r="AM29" s="1617"/>
    </row>
    <row r="30" spans="1:39" s="1616" customFormat="1" ht="14">
      <c r="A30" s="2436" t="s">
        <v>3055</v>
      </c>
      <c r="B30" s="2436"/>
      <c r="C30" s="2436"/>
      <c r="D30" s="2436"/>
      <c r="E30" s="2436"/>
      <c r="F30" s="2436"/>
      <c r="G30" s="2436"/>
      <c r="H30" s="2436"/>
      <c r="I30" s="2436"/>
      <c r="J30" s="2436"/>
      <c r="K30" s="2436"/>
      <c r="L30" s="2436"/>
      <c r="O30" s="1617"/>
      <c r="P30" s="1617"/>
      <c r="Q30" s="1617"/>
      <c r="R30" s="1617"/>
      <c r="S30" s="1617"/>
      <c r="T30" s="1617"/>
      <c r="U30" s="1617"/>
      <c r="V30" s="1617"/>
      <c r="W30" s="1617"/>
      <c r="X30" s="1617"/>
      <c r="Y30" s="1617"/>
      <c r="Z30" s="1617"/>
      <c r="AA30" s="1617"/>
      <c r="AB30" s="1617"/>
      <c r="AC30" s="1617"/>
      <c r="AD30" s="1617"/>
      <c r="AE30" s="1617"/>
      <c r="AF30" s="1617"/>
      <c r="AG30" s="1617"/>
      <c r="AH30" s="1617"/>
      <c r="AI30" s="1617"/>
      <c r="AJ30" s="1617"/>
      <c r="AK30" s="1617"/>
      <c r="AL30" s="1617"/>
      <c r="AM30" s="1617"/>
    </row>
    <row r="31" spans="1:39" s="1616" customFormat="1">
      <c r="A31" s="2437" t="s">
        <v>3054</v>
      </c>
      <c r="B31" s="2437"/>
      <c r="C31" s="2437"/>
      <c r="D31" s="2437"/>
      <c r="E31" s="2437"/>
      <c r="F31" s="2437"/>
      <c r="G31" s="2437"/>
      <c r="H31" s="2437"/>
      <c r="I31" s="2437"/>
      <c r="J31" s="2437"/>
      <c r="K31" s="2437"/>
      <c r="L31" s="2437"/>
    </row>
    <row r="32" spans="1:39" s="1616" customFormat="1">
      <c r="A32" s="2438" t="s">
        <v>3053</v>
      </c>
      <c r="B32" s="2438"/>
      <c r="C32" s="2438"/>
      <c r="D32" s="2438"/>
      <c r="E32" s="2438"/>
      <c r="F32" s="2438"/>
      <c r="G32" s="2438"/>
      <c r="H32" s="2438"/>
      <c r="I32" s="2438"/>
      <c r="J32" s="2438"/>
      <c r="K32" s="2438"/>
      <c r="L32" s="2438"/>
      <c r="M32" s="37"/>
      <c r="N32" s="37"/>
    </row>
    <row r="33" spans="1:14" s="1616" customFormat="1">
      <c r="A33" s="2439" t="s">
        <v>3052</v>
      </c>
      <c r="B33" s="2439"/>
      <c r="C33" s="2439"/>
      <c r="D33" s="2439"/>
      <c r="E33" s="2439"/>
      <c r="F33" s="2439"/>
      <c r="G33" s="2439"/>
      <c r="H33" s="2439"/>
      <c r="I33" s="2439"/>
      <c r="J33" s="2439"/>
      <c r="K33" s="2439"/>
      <c r="L33" s="2439"/>
    </row>
    <row r="34" spans="1:14" s="1616" customFormat="1">
      <c r="A34" s="2439" t="s">
        <v>3051</v>
      </c>
      <c r="B34" s="2439"/>
      <c r="C34" s="2439"/>
      <c r="D34" s="2439"/>
      <c r="E34" s="2439"/>
      <c r="F34" s="2439"/>
      <c r="G34" s="2439"/>
      <c r="H34" s="2439"/>
      <c r="I34" s="2439"/>
      <c r="J34" s="2439"/>
      <c r="K34" s="2439"/>
      <c r="L34" s="2439"/>
    </row>
    <row r="35" spans="1:14" s="1616" customFormat="1" ht="14">
      <c r="A35" s="2439" t="s">
        <v>3050</v>
      </c>
      <c r="B35" s="2439"/>
      <c r="C35" s="2439"/>
      <c r="D35" s="2439"/>
      <c r="E35" s="2439"/>
      <c r="F35" s="2439"/>
      <c r="G35" s="2439"/>
      <c r="H35" s="2439"/>
      <c r="I35" s="2439"/>
      <c r="J35" s="2439"/>
      <c r="K35" s="2439"/>
      <c r="L35" s="2439"/>
      <c r="M35" s="1617"/>
      <c r="N35" s="1617"/>
    </row>
    <row r="36" spans="1:14" s="1616" customFormat="1" ht="14">
      <c r="A36" s="2439" t="s">
        <v>3049</v>
      </c>
      <c r="B36" s="2439"/>
      <c r="C36" s="2439"/>
      <c r="D36" s="2439"/>
      <c r="E36" s="2439"/>
      <c r="F36" s="2439"/>
      <c r="G36" s="2439"/>
      <c r="H36" s="2439"/>
      <c r="I36" s="2439"/>
      <c r="J36" s="2439"/>
      <c r="K36" s="2439"/>
      <c r="L36" s="2439"/>
      <c r="M36" s="1617"/>
      <c r="N36" s="1617"/>
    </row>
    <row r="37" spans="1:14" s="1616" customFormat="1">
      <c r="A37" s="2439" t="s">
        <v>3048</v>
      </c>
      <c r="B37" s="2439"/>
      <c r="C37" s="2439"/>
      <c r="D37" s="2439"/>
      <c r="E37" s="2439"/>
      <c r="F37" s="2439"/>
      <c r="G37" s="2439"/>
      <c r="H37" s="2439"/>
      <c r="I37" s="2439"/>
      <c r="J37" s="2439"/>
      <c r="K37" s="2439"/>
      <c r="L37" s="2439"/>
    </row>
    <row r="38" spans="1:14" s="1616" customFormat="1">
      <c r="A38" s="2439" t="s">
        <v>3047</v>
      </c>
      <c r="B38" s="2439"/>
      <c r="C38" s="2439"/>
      <c r="D38" s="2439"/>
      <c r="E38" s="2439"/>
      <c r="F38" s="2439"/>
      <c r="G38" s="2439"/>
      <c r="H38" s="2439"/>
      <c r="I38" s="2439"/>
      <c r="J38" s="2439"/>
      <c r="K38" s="2439"/>
      <c r="L38" s="2439"/>
    </row>
    <row r="39" spans="1:14">
      <c r="A39" s="2439" t="s">
        <v>3046</v>
      </c>
      <c r="B39" s="2439"/>
      <c r="C39" s="2439"/>
      <c r="D39" s="2439"/>
      <c r="E39" s="2439"/>
      <c r="F39" s="2439"/>
      <c r="G39" s="2439"/>
      <c r="H39" s="2439"/>
      <c r="I39" s="2439"/>
      <c r="J39" s="2439"/>
      <c r="K39" s="2439"/>
      <c r="L39" s="2439"/>
      <c r="M39" s="1616"/>
      <c r="N39" s="1616"/>
    </row>
    <row r="40" spans="1:14">
      <c r="A40" s="2439" t="s">
        <v>3045</v>
      </c>
      <c r="B40" s="2436"/>
      <c r="C40" s="2436"/>
      <c r="D40" s="2436"/>
      <c r="E40" s="2436"/>
      <c r="F40" s="2436"/>
      <c r="G40" s="2436"/>
      <c r="H40" s="2436"/>
      <c r="I40" s="2436"/>
      <c r="J40" s="2436"/>
      <c r="K40" s="2436"/>
      <c r="L40" s="2436"/>
      <c r="M40" s="1616"/>
      <c r="N40" s="1616"/>
    </row>
    <row r="41" spans="1:14">
      <c r="A41" s="2439" t="s">
        <v>3044</v>
      </c>
      <c r="B41" s="2436"/>
      <c r="C41" s="2436"/>
      <c r="D41" s="2436"/>
      <c r="E41" s="2436"/>
      <c r="F41" s="2436"/>
      <c r="G41" s="2436"/>
      <c r="H41" s="2436"/>
      <c r="I41" s="2436"/>
      <c r="J41" s="2436"/>
      <c r="K41" s="2436"/>
      <c r="L41" s="2436"/>
      <c r="M41" s="1616"/>
      <c r="N41" s="1616"/>
    </row>
    <row r="42" spans="1:14">
      <c r="A42" s="2439" t="s">
        <v>3043</v>
      </c>
      <c r="B42" s="2436"/>
      <c r="C42" s="2436"/>
      <c r="D42" s="2436"/>
      <c r="E42" s="2436"/>
      <c r="F42" s="2436"/>
      <c r="G42" s="2436"/>
      <c r="H42" s="2436"/>
      <c r="I42" s="2436"/>
      <c r="J42" s="2436"/>
      <c r="K42" s="2436"/>
      <c r="L42" s="2436"/>
      <c r="M42" s="1616"/>
      <c r="N42" s="1616"/>
    </row>
    <row r="43" spans="1:14">
      <c r="A43" s="2439" t="s">
        <v>3042</v>
      </c>
      <c r="B43" s="2436"/>
      <c r="C43" s="2436"/>
      <c r="D43" s="2436"/>
      <c r="E43" s="2436"/>
      <c r="F43" s="2436"/>
      <c r="G43" s="2436"/>
      <c r="H43" s="2436"/>
      <c r="I43" s="2436"/>
      <c r="J43" s="2436"/>
      <c r="K43" s="2436"/>
      <c r="L43" s="2436"/>
      <c r="M43" s="1616"/>
      <c r="N43" s="1616"/>
    </row>
    <row r="44" spans="1:14">
      <c r="A44" s="2439" t="s">
        <v>3041</v>
      </c>
      <c r="B44" s="2436"/>
      <c r="C44" s="2436"/>
      <c r="D44" s="2436"/>
      <c r="E44" s="2436"/>
      <c r="F44" s="2436"/>
      <c r="G44" s="2436"/>
      <c r="H44" s="2436"/>
      <c r="I44" s="2436"/>
      <c r="J44" s="2436"/>
      <c r="K44" s="2436"/>
      <c r="L44" s="2436"/>
      <c r="M44" s="1616"/>
      <c r="N44" s="1616"/>
    </row>
    <row r="45" spans="1:14" ht="18">
      <c r="A45" s="2465" t="s">
        <v>3040</v>
      </c>
      <c r="B45" s="2465"/>
      <c r="C45" s="2465"/>
      <c r="D45" s="2465"/>
      <c r="E45" s="2465"/>
      <c r="F45" s="2465"/>
      <c r="G45" s="2465"/>
      <c r="H45" s="2465"/>
      <c r="I45" s="2465"/>
      <c r="J45" s="2465"/>
      <c r="K45" s="2465"/>
      <c r="L45" s="2465"/>
    </row>
    <row r="46" spans="1:14" ht="17">
      <c r="A46" s="2466" t="s">
        <v>3039</v>
      </c>
      <c r="B46" s="2466"/>
      <c r="C46" s="2466"/>
      <c r="D46" s="2466"/>
      <c r="E46" s="2466"/>
      <c r="F46" s="2466"/>
      <c r="G46" s="2466"/>
      <c r="H46" s="2466"/>
      <c r="I46" s="2466"/>
      <c r="J46" s="2466"/>
      <c r="K46" s="2466"/>
      <c r="L46" s="2466"/>
    </row>
    <row r="47" spans="1:14">
      <c r="A47" s="2440" t="s">
        <v>3038</v>
      </c>
      <c r="B47" s="2440"/>
      <c r="C47" s="2441" t="s">
        <v>3037</v>
      </c>
      <c r="D47" s="2442"/>
      <c r="E47" s="2442"/>
      <c r="F47" s="1615" t="s">
        <v>3036</v>
      </c>
      <c r="G47" s="2441"/>
      <c r="H47" s="2442"/>
      <c r="I47" s="2442"/>
      <c r="J47" s="1615" t="s">
        <v>27</v>
      </c>
      <c r="K47" s="2443"/>
      <c r="L47" s="2443"/>
    </row>
    <row r="48" spans="1:14">
      <c r="A48" s="2451"/>
      <c r="B48" s="2451"/>
      <c r="C48" s="2452"/>
      <c r="D48" s="2452"/>
      <c r="E48" s="2452"/>
      <c r="F48" s="2451"/>
      <c r="G48" s="2452"/>
      <c r="H48" s="2452"/>
      <c r="I48" s="2452"/>
      <c r="J48" s="2451"/>
      <c r="K48" s="2452"/>
      <c r="L48" s="2452"/>
    </row>
    <row r="49" spans="1:12" ht="14">
      <c r="A49" s="1614" t="s">
        <v>3035</v>
      </c>
      <c r="B49" s="1614" t="s">
        <v>3034</v>
      </c>
      <c r="C49" s="1614" t="s">
        <v>3033</v>
      </c>
      <c r="D49" s="1614" t="s">
        <v>3032</v>
      </c>
      <c r="E49" s="1614" t="s">
        <v>3031</v>
      </c>
      <c r="F49" s="1614" t="s">
        <v>3030</v>
      </c>
      <c r="G49" s="1614" t="s">
        <v>3029</v>
      </c>
      <c r="H49" s="2453" t="s">
        <v>3028</v>
      </c>
      <c r="I49" s="2454"/>
      <c r="J49" s="2454"/>
      <c r="K49" s="2454"/>
      <c r="L49" s="2455"/>
    </row>
    <row r="50" spans="1:12">
      <c r="A50" s="2456" t="s">
        <v>3027</v>
      </c>
      <c r="B50" s="2456" t="s">
        <v>3026</v>
      </c>
      <c r="C50" s="2456" t="s">
        <v>3025</v>
      </c>
      <c r="D50" s="2456" t="s">
        <v>3024</v>
      </c>
      <c r="E50" s="2456" t="s">
        <v>3023</v>
      </c>
      <c r="F50" s="2456" t="s">
        <v>3022</v>
      </c>
      <c r="G50" s="2461" t="s">
        <v>3021</v>
      </c>
      <c r="H50" s="2462" t="s">
        <v>3020</v>
      </c>
      <c r="I50" s="2463"/>
      <c r="J50" s="2463"/>
      <c r="K50" s="2463"/>
      <c r="L50" s="2464"/>
    </row>
    <row r="51" spans="1:12">
      <c r="A51" s="2456"/>
      <c r="B51" s="2456"/>
      <c r="C51" s="2456"/>
      <c r="D51" s="2456"/>
      <c r="E51" s="2456"/>
      <c r="F51" s="2456"/>
      <c r="G51" s="2461"/>
      <c r="H51" s="2458" t="s">
        <v>3019</v>
      </c>
      <c r="I51" s="2459"/>
      <c r="J51" s="2459"/>
      <c r="K51" s="2459"/>
      <c r="L51" s="2460"/>
    </row>
    <row r="52" spans="1:12">
      <c r="A52" s="2456"/>
      <c r="B52" s="2456"/>
      <c r="C52" s="2456"/>
      <c r="D52" s="2456"/>
      <c r="E52" s="2456"/>
      <c r="F52" s="2456"/>
      <c r="G52" s="1613" t="s">
        <v>3018</v>
      </c>
      <c r="H52" s="1612" t="s">
        <v>3017</v>
      </c>
      <c r="I52" s="1612" t="s">
        <v>3017</v>
      </c>
      <c r="J52" s="1612" t="s">
        <v>3017</v>
      </c>
      <c r="K52" s="1612" t="s">
        <v>3017</v>
      </c>
      <c r="L52" s="1612" t="s">
        <v>3017</v>
      </c>
    </row>
    <row r="53" spans="1:12" ht="14" thickBot="1">
      <c r="A53" s="2457"/>
      <c r="B53" s="2457"/>
      <c r="C53" s="2457"/>
      <c r="D53" s="2457"/>
      <c r="E53" s="2457"/>
      <c r="F53" s="2457"/>
      <c r="G53" s="1611" t="s">
        <v>3016</v>
      </c>
      <c r="H53" s="1610">
        <v>2009</v>
      </c>
      <c r="I53" s="1610">
        <v>2010</v>
      </c>
      <c r="J53" s="1610">
        <v>2011</v>
      </c>
      <c r="K53" s="1610">
        <v>2012</v>
      </c>
      <c r="L53" s="1610">
        <v>2013</v>
      </c>
    </row>
    <row r="54" spans="1:12" ht="57" thickTop="1">
      <c r="A54" s="1609" t="s">
        <v>3015</v>
      </c>
      <c r="B54" s="1608"/>
      <c r="C54" s="1607" t="s">
        <v>3014</v>
      </c>
      <c r="D54" s="1607" t="s">
        <v>3013</v>
      </c>
      <c r="E54" s="1607" t="s">
        <v>3012</v>
      </c>
      <c r="F54" s="1607" t="s">
        <v>3011</v>
      </c>
      <c r="G54" s="1606" t="s">
        <v>3010</v>
      </c>
      <c r="H54" s="1605" t="s">
        <v>3009</v>
      </c>
      <c r="I54" s="1605"/>
      <c r="J54" s="1605"/>
      <c r="K54" s="1605"/>
      <c r="L54" s="1605"/>
    </row>
    <row r="55" spans="1:12">
      <c r="A55" s="1604"/>
      <c r="B55" s="1603"/>
      <c r="C55" s="1601"/>
      <c r="D55" s="1601"/>
      <c r="E55" s="1601"/>
      <c r="F55" s="1601"/>
      <c r="G55" s="1602"/>
      <c r="H55" s="1601"/>
      <c r="I55" s="1601"/>
      <c r="J55" s="1601"/>
      <c r="K55" s="1601"/>
      <c r="L55" s="1601"/>
    </row>
    <row r="56" spans="1:12">
      <c r="A56" s="1604"/>
      <c r="B56" s="1603"/>
      <c r="C56" s="1601"/>
      <c r="D56" s="1601"/>
      <c r="E56" s="1601"/>
      <c r="F56" s="1601"/>
      <c r="G56" s="1602"/>
      <c r="H56" s="1601"/>
      <c r="I56" s="1601"/>
      <c r="J56" s="1601"/>
      <c r="K56" s="1601"/>
      <c r="L56" s="1601"/>
    </row>
    <row r="57" spans="1:12">
      <c r="A57" s="1604"/>
      <c r="B57" s="1603"/>
      <c r="C57" s="1601"/>
      <c r="D57" s="1601"/>
      <c r="E57" s="1601"/>
      <c r="F57" s="1601"/>
      <c r="G57" s="1602"/>
      <c r="H57" s="1601"/>
      <c r="I57" s="1601"/>
      <c r="J57" s="1601"/>
      <c r="K57" s="1601"/>
      <c r="L57" s="1601"/>
    </row>
    <row r="58" spans="1:12">
      <c r="A58" s="1604"/>
      <c r="B58" s="1603"/>
      <c r="C58" s="1601"/>
      <c r="D58" s="1601"/>
      <c r="E58" s="1601"/>
      <c r="F58" s="1601"/>
      <c r="G58" s="1602"/>
      <c r="H58" s="1601"/>
      <c r="I58" s="1601"/>
      <c r="J58" s="1601"/>
      <c r="K58" s="1601"/>
      <c r="L58" s="1601"/>
    </row>
    <row r="59" spans="1:12">
      <c r="A59" s="1604"/>
      <c r="B59" s="1603"/>
      <c r="C59" s="1601"/>
      <c r="D59" s="1601"/>
      <c r="E59" s="1601"/>
      <c r="F59" s="1601"/>
      <c r="G59" s="1602"/>
      <c r="H59" s="1601"/>
      <c r="I59" s="1601"/>
      <c r="J59" s="1601"/>
      <c r="K59" s="1601"/>
      <c r="L59" s="1601"/>
    </row>
    <row r="60" spans="1:12">
      <c r="A60" s="1604"/>
      <c r="B60" s="1603"/>
      <c r="C60" s="1601"/>
      <c r="D60" s="1601"/>
      <c r="E60" s="1601"/>
      <c r="F60" s="1601"/>
      <c r="G60" s="1602"/>
      <c r="H60" s="1601"/>
      <c r="I60" s="1601"/>
      <c r="J60" s="1601"/>
      <c r="K60" s="1601"/>
      <c r="L60" s="1601"/>
    </row>
    <row r="61" spans="1:12">
      <c r="A61" s="1604"/>
      <c r="B61" s="1603"/>
      <c r="C61" s="1601"/>
      <c r="D61" s="1601"/>
      <c r="E61" s="1601"/>
      <c r="F61" s="1601"/>
      <c r="G61" s="1602"/>
      <c r="H61" s="1601"/>
      <c r="I61" s="1601"/>
      <c r="J61" s="1601"/>
      <c r="K61" s="1601"/>
      <c r="L61" s="1601"/>
    </row>
    <row r="62" spans="1:12" ht="42">
      <c r="A62" s="2444" t="s">
        <v>3008</v>
      </c>
      <c r="B62" s="2445"/>
      <c r="C62" s="2445"/>
      <c r="D62" s="2445"/>
      <c r="E62" s="2446"/>
      <c r="F62" s="2450" t="s">
        <v>3007</v>
      </c>
      <c r="G62" s="2450"/>
      <c r="H62" s="1600" t="s">
        <v>3006</v>
      </c>
      <c r="I62" s="1598"/>
      <c r="J62" s="1598"/>
      <c r="K62" s="1598"/>
      <c r="L62" s="1598"/>
    </row>
    <row r="63" spans="1:12">
      <c r="A63" s="2447"/>
      <c r="B63" s="2448"/>
      <c r="C63" s="2448"/>
      <c r="D63" s="2448"/>
      <c r="E63" s="2449"/>
      <c r="F63" s="2450" t="s">
        <v>3005</v>
      </c>
      <c r="G63" s="2450"/>
      <c r="H63" s="1599">
        <v>40014</v>
      </c>
      <c r="I63" s="1598"/>
      <c r="J63" s="1598"/>
      <c r="K63" s="1598"/>
      <c r="L63" s="1598"/>
    </row>
  </sheetData>
  <mergeCells count="75">
    <mergeCell ref="A1:L1"/>
    <mergeCell ref="A2:L2"/>
    <mergeCell ref="A3:B3"/>
    <mergeCell ref="C3:E3"/>
    <mergeCell ref="G3:I3"/>
    <mergeCell ref="K3:L3"/>
    <mergeCell ref="K21:L21"/>
    <mergeCell ref="A4:L4"/>
    <mergeCell ref="H5:L5"/>
    <mergeCell ref="A6:A9"/>
    <mergeCell ref="B6:B9"/>
    <mergeCell ref="C6:C9"/>
    <mergeCell ref="D6:D9"/>
    <mergeCell ref="E6:E9"/>
    <mergeCell ref="F6:F9"/>
    <mergeCell ref="G6:G7"/>
    <mergeCell ref="H6:L6"/>
    <mergeCell ref="C21:E21"/>
    <mergeCell ref="F21:G21"/>
    <mergeCell ref="A44:L44"/>
    <mergeCell ref="A45:L45"/>
    <mergeCell ref="A46:L46"/>
    <mergeCell ref="A35:L35"/>
    <mergeCell ref="H7:L7"/>
    <mergeCell ref="A18:E19"/>
    <mergeCell ref="F18:G18"/>
    <mergeCell ref="F19:G19"/>
    <mergeCell ref="A28:L28"/>
    <mergeCell ref="A29:L29"/>
    <mergeCell ref="H23:J23"/>
    <mergeCell ref="K23:L23"/>
    <mergeCell ref="H21:J21"/>
    <mergeCell ref="A34:L34"/>
    <mergeCell ref="A26:L26"/>
    <mergeCell ref="A21:B21"/>
    <mergeCell ref="A62:E63"/>
    <mergeCell ref="F62:G62"/>
    <mergeCell ref="F63:G63"/>
    <mergeCell ref="A48:L48"/>
    <mergeCell ref="H49:L49"/>
    <mergeCell ref="A50:A53"/>
    <mergeCell ref="B50:B53"/>
    <mergeCell ref="C50:C53"/>
    <mergeCell ref="D50:D53"/>
    <mergeCell ref="E50:E53"/>
    <mergeCell ref="H51:L51"/>
    <mergeCell ref="F50:F53"/>
    <mergeCell ref="G50:G51"/>
    <mergeCell ref="H50:L50"/>
    <mergeCell ref="C24:E24"/>
    <mergeCell ref="F23:G23"/>
    <mergeCell ref="F24:G24"/>
    <mergeCell ref="H22:J22"/>
    <mergeCell ref="K22:L22"/>
    <mergeCell ref="H24:J24"/>
    <mergeCell ref="K24:L24"/>
    <mergeCell ref="C22:E22"/>
    <mergeCell ref="F22:G22"/>
    <mergeCell ref="C23:E23"/>
    <mergeCell ref="A30:L30"/>
    <mergeCell ref="A31:L31"/>
    <mergeCell ref="A32:L32"/>
    <mergeCell ref="A33:L33"/>
    <mergeCell ref="A47:B47"/>
    <mergeCell ref="C47:E47"/>
    <mergeCell ref="G47:I47"/>
    <mergeCell ref="K47:L47"/>
    <mergeCell ref="A36:L36"/>
    <mergeCell ref="A37:L37"/>
    <mergeCell ref="A38:L38"/>
    <mergeCell ref="A39:L39"/>
    <mergeCell ref="A40:L40"/>
    <mergeCell ref="A41:L41"/>
    <mergeCell ref="A42:L42"/>
    <mergeCell ref="A43:L43"/>
  </mergeCells>
  <conditionalFormatting sqref="G3:I3 K3:L3 C3:E3">
    <cfRule type="cellIs" dxfId="1" priority="2" stopIfTrue="1" operator="equal">
      <formula>0</formula>
    </cfRule>
  </conditionalFormatting>
  <conditionalFormatting sqref="G47:I47 K47:L47 C47:E47">
    <cfRule type="cellIs" dxfId="0" priority="1" stopIfTrue="1" operator="equal">
      <formula>0</formula>
    </cfRule>
  </conditionalFormatting>
  <pageMargins left="0.7" right="0.7" top="0.75" bottom="0.75" header="0.3" footer="0.3"/>
  <pageSetup scale="97" fitToHeight="0" orientation="landscape" r:id="rId1"/>
  <rowBreaks count="1" manualBreakCount="1">
    <brk id="2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AD791-2CEE-4914-B1EB-99934669BFD0}">
  <sheetPr codeName="Sheet5"/>
  <dimension ref="A1:AC115"/>
  <sheetViews>
    <sheetView zoomScale="80" zoomScaleNormal="80" workbookViewId="0"/>
  </sheetViews>
  <sheetFormatPr baseColWidth="10" defaultColWidth="8.83203125" defaultRowHeight="14"/>
  <cols>
    <col min="1" max="1" width="4.1640625" customWidth="1"/>
    <col min="2" max="2" width="59.6640625" customWidth="1"/>
    <col min="3" max="4" width="13.1640625" customWidth="1"/>
    <col min="5" max="5" width="20.6640625" style="1029" customWidth="1"/>
    <col min="6" max="6" width="3.83203125" customWidth="1"/>
    <col min="7" max="7" width="20.6640625" customWidth="1"/>
    <col min="8" max="8" width="2" customWidth="1"/>
  </cols>
  <sheetData>
    <row r="1" spans="1:29" ht="15" thickBot="1">
      <c r="A1" s="292"/>
      <c r="B1" s="292"/>
      <c r="C1" s="292"/>
      <c r="D1" s="292"/>
      <c r="E1" s="1013"/>
      <c r="F1" s="292"/>
      <c r="G1" s="292"/>
      <c r="H1" s="292"/>
      <c r="I1" s="292"/>
      <c r="J1" s="292"/>
      <c r="K1" s="292"/>
      <c r="L1" s="292"/>
      <c r="M1" s="292"/>
      <c r="N1" s="292"/>
      <c r="O1" s="292"/>
      <c r="P1" s="292"/>
      <c r="Q1" s="292"/>
      <c r="R1" s="292"/>
      <c r="S1" s="292"/>
      <c r="T1" s="292"/>
      <c r="U1" s="292"/>
      <c r="V1" s="292"/>
      <c r="W1" s="292"/>
      <c r="X1" s="292"/>
      <c r="Y1" s="292"/>
      <c r="Z1" s="292"/>
      <c r="AA1" s="292"/>
      <c r="AB1" s="292"/>
      <c r="AC1" s="292"/>
    </row>
    <row r="2" spans="1:29" ht="26.25" customHeight="1">
      <c r="A2" s="292"/>
      <c r="B2" s="2474" t="s">
        <v>468</v>
      </c>
      <c r="C2" s="2475"/>
      <c r="D2" s="2475"/>
      <c r="E2" s="2475"/>
      <c r="F2" s="2475"/>
      <c r="G2" s="2476"/>
      <c r="H2" s="292"/>
      <c r="I2" s="292"/>
      <c r="J2" s="292"/>
      <c r="K2" s="292"/>
      <c r="L2" s="292"/>
      <c r="M2" s="292"/>
      <c r="N2" s="292"/>
      <c r="O2" s="292"/>
      <c r="P2" s="292"/>
      <c r="Q2" s="292"/>
      <c r="R2" s="292"/>
      <c r="S2" s="292"/>
      <c r="T2" s="292"/>
      <c r="U2" s="292"/>
      <c r="V2" s="292"/>
      <c r="W2" s="292"/>
      <c r="X2" s="292"/>
      <c r="Y2" s="292"/>
      <c r="Z2" s="292"/>
      <c r="AA2" s="292"/>
      <c r="AB2" s="292"/>
      <c r="AC2" s="292"/>
    </row>
    <row r="3" spans="1:29">
      <c r="A3" s="292"/>
      <c r="B3" s="201"/>
      <c r="C3" s="202"/>
      <c r="D3" s="202"/>
      <c r="E3" s="1014"/>
      <c r="F3" s="202"/>
      <c r="G3" s="210"/>
      <c r="H3" s="292"/>
      <c r="I3" s="292"/>
      <c r="J3" s="292"/>
      <c r="K3" s="292"/>
      <c r="L3" s="292"/>
      <c r="M3" s="292"/>
      <c r="N3" s="292"/>
      <c r="O3" s="292"/>
      <c r="P3" s="292"/>
      <c r="Q3" s="292"/>
      <c r="R3" s="292"/>
      <c r="S3" s="292"/>
      <c r="T3" s="292"/>
      <c r="U3" s="292"/>
      <c r="V3" s="292"/>
      <c r="W3" s="292"/>
      <c r="X3" s="292"/>
      <c r="Y3" s="292"/>
      <c r="Z3" s="292"/>
      <c r="AA3" s="292"/>
      <c r="AB3" s="292"/>
      <c r="AC3" s="292"/>
    </row>
    <row r="4" spans="1:29" ht="18">
      <c r="A4" s="292"/>
      <c r="B4" s="260" t="s">
        <v>23</v>
      </c>
      <c r="C4" s="262">
        <f>'Step 3. FA Balance'!$H$6</f>
        <v>0</v>
      </c>
      <c r="D4" s="261"/>
      <c r="E4" s="1015"/>
      <c r="F4" s="261"/>
      <c r="G4" s="210"/>
      <c r="H4" s="292"/>
      <c r="I4" s="292"/>
      <c r="J4" s="292"/>
      <c r="K4" s="292"/>
      <c r="L4" s="292"/>
      <c r="M4" s="292"/>
      <c r="N4" s="292"/>
      <c r="O4" s="292"/>
      <c r="P4" s="292"/>
      <c r="Q4" s="292"/>
      <c r="R4" s="292"/>
      <c r="S4" s="292"/>
      <c r="T4" s="292"/>
      <c r="U4" s="292"/>
      <c r="V4" s="292"/>
      <c r="W4" s="292"/>
      <c r="X4" s="292"/>
      <c r="Y4" s="292"/>
      <c r="Z4" s="292"/>
      <c r="AA4" s="292"/>
      <c r="AB4" s="292"/>
      <c r="AC4" s="292"/>
    </row>
    <row r="5" spans="1:29" ht="18">
      <c r="A5" s="292"/>
      <c r="B5" s="260" t="s">
        <v>24</v>
      </c>
      <c r="C5" s="1034">
        <f>'Step 3. FA Balance'!$H$7</f>
        <v>0</v>
      </c>
      <c r="D5" s="261"/>
      <c r="E5" s="1015"/>
      <c r="F5" s="261"/>
      <c r="G5" s="210"/>
      <c r="H5" s="292"/>
      <c r="I5" s="292"/>
      <c r="J5" s="292"/>
      <c r="K5" s="292"/>
      <c r="L5" s="292"/>
      <c r="M5" s="292"/>
      <c r="N5" s="292"/>
      <c r="O5" s="292"/>
      <c r="P5" s="292"/>
      <c r="Q5" s="292"/>
      <c r="R5" s="292"/>
      <c r="S5" s="292"/>
      <c r="T5" s="292"/>
      <c r="U5" s="292"/>
      <c r="V5" s="292"/>
      <c r="W5" s="292"/>
      <c r="X5" s="292"/>
      <c r="Y5" s="292"/>
      <c r="Z5" s="292"/>
      <c r="AA5" s="292"/>
      <c r="AB5" s="292"/>
      <c r="AC5" s="292"/>
    </row>
    <row r="6" spans="1:29" ht="18">
      <c r="A6" s="292"/>
      <c r="B6" s="260" t="s">
        <v>27</v>
      </c>
      <c r="C6" s="1035">
        <f>'Step 3. FA Balance'!$H$8</f>
        <v>0</v>
      </c>
      <c r="D6" s="261"/>
      <c r="E6" s="1015"/>
      <c r="F6" s="261"/>
      <c r="G6" s="210"/>
      <c r="H6" s="292"/>
      <c r="I6" s="292"/>
      <c r="J6" s="292"/>
      <c r="K6" s="292"/>
      <c r="L6" s="292"/>
      <c r="M6" s="292"/>
      <c r="N6" s="292"/>
      <c r="O6" s="292"/>
      <c r="P6" s="292"/>
      <c r="Q6" s="292"/>
      <c r="R6" s="292"/>
      <c r="S6" s="292"/>
      <c r="T6" s="292"/>
      <c r="U6" s="292"/>
      <c r="V6" s="292"/>
      <c r="W6" s="292"/>
      <c r="X6" s="292"/>
      <c r="Y6" s="292"/>
      <c r="Z6" s="292"/>
      <c r="AA6" s="292"/>
      <c r="AB6" s="292"/>
      <c r="AC6" s="292"/>
    </row>
    <row r="7" spans="1:29" ht="18">
      <c r="A7" s="292"/>
      <c r="B7" s="260" t="s">
        <v>687</v>
      </c>
      <c r="C7" s="262">
        <f>'Step 3. FA Balance'!$H$9</f>
        <v>0</v>
      </c>
      <c r="D7" s="261"/>
      <c r="E7" s="1015"/>
      <c r="F7" s="261"/>
      <c r="G7" s="210"/>
      <c r="H7" s="292"/>
      <c r="I7" s="292"/>
      <c r="J7" s="292"/>
      <c r="K7" s="292"/>
      <c r="L7" s="292"/>
      <c r="M7" s="292"/>
      <c r="N7" s="292"/>
      <c r="O7" s="292"/>
      <c r="P7" s="292"/>
      <c r="Q7" s="292"/>
      <c r="R7" s="292"/>
      <c r="S7" s="292"/>
      <c r="T7" s="292"/>
      <c r="U7" s="292"/>
      <c r="V7" s="292"/>
      <c r="W7" s="292"/>
      <c r="X7" s="292"/>
      <c r="Y7" s="292"/>
      <c r="Z7" s="292"/>
      <c r="AA7" s="292"/>
      <c r="AB7" s="292"/>
      <c r="AC7" s="292"/>
    </row>
    <row r="8" spans="1:29" ht="18">
      <c r="A8" s="292"/>
      <c r="B8" s="260" t="s">
        <v>263</v>
      </c>
      <c r="C8" s="1033">
        <f>'Step 3. FA Balance'!$H$10</f>
        <v>0</v>
      </c>
      <c r="D8" s="261"/>
      <c r="E8" s="1015"/>
      <c r="F8" s="261"/>
      <c r="G8" s="210"/>
      <c r="H8" s="292"/>
      <c r="I8" s="292"/>
      <c r="J8" s="292"/>
      <c r="K8" s="292"/>
      <c r="L8" s="292"/>
      <c r="M8" s="292"/>
      <c r="N8" s="292"/>
      <c r="O8" s="292"/>
      <c r="P8" s="292"/>
      <c r="Q8" s="292"/>
      <c r="R8" s="292"/>
      <c r="S8" s="292"/>
      <c r="T8" s="292"/>
      <c r="U8" s="292"/>
      <c r="V8" s="292"/>
      <c r="W8" s="292"/>
      <c r="X8" s="292"/>
      <c r="Y8" s="292"/>
      <c r="Z8" s="292"/>
      <c r="AA8" s="292"/>
      <c r="AB8" s="292"/>
      <c r="AC8" s="292"/>
    </row>
    <row r="9" spans="1:29" ht="18">
      <c r="A9" s="292"/>
      <c r="B9" s="263" t="s">
        <v>184</v>
      </c>
      <c r="C9" s="285"/>
      <c r="D9" s="285"/>
      <c r="E9" s="1015"/>
      <c r="F9" s="261"/>
      <c r="G9" s="264"/>
      <c r="H9" s="294"/>
      <c r="I9" s="292"/>
      <c r="J9" s="292"/>
      <c r="K9" s="292"/>
      <c r="L9" s="292"/>
      <c r="M9" s="292"/>
      <c r="N9" s="292"/>
      <c r="O9" s="292"/>
      <c r="P9" s="292"/>
      <c r="Q9" s="292"/>
      <c r="R9" s="292"/>
      <c r="S9" s="292"/>
      <c r="T9" s="292"/>
      <c r="U9" s="292"/>
      <c r="V9" s="292"/>
      <c r="W9" s="292"/>
      <c r="X9" s="292"/>
      <c r="Y9" s="292"/>
      <c r="Z9" s="292"/>
      <c r="AA9" s="292"/>
      <c r="AB9" s="292"/>
      <c r="AC9" s="292"/>
    </row>
    <row r="10" spans="1:29" ht="18" customHeight="1" thickBot="1">
      <c r="A10" s="292"/>
      <c r="B10" s="267" t="s">
        <v>393</v>
      </c>
      <c r="C10" s="203"/>
      <c r="D10" s="203"/>
      <c r="E10" s="1014"/>
      <c r="F10" s="202"/>
      <c r="G10" s="264"/>
      <c r="H10" s="294"/>
      <c r="I10" s="295"/>
      <c r="J10" s="292"/>
      <c r="K10" s="292"/>
      <c r="L10" s="292"/>
      <c r="M10" s="292"/>
      <c r="N10" s="292"/>
      <c r="O10" s="292"/>
      <c r="P10" s="292"/>
      <c r="Q10" s="292"/>
      <c r="R10" s="292"/>
      <c r="S10" s="292"/>
      <c r="T10" s="292"/>
      <c r="U10" s="292"/>
      <c r="V10" s="292"/>
      <c r="W10" s="292"/>
      <c r="X10" s="292"/>
      <c r="Y10" s="292"/>
      <c r="Z10" s="292"/>
      <c r="AA10" s="292"/>
      <c r="AB10" s="292"/>
      <c r="AC10" s="292"/>
    </row>
    <row r="11" spans="1:29" ht="17" hidden="1" thickBot="1">
      <c r="A11" s="293"/>
      <c r="B11" s="201"/>
      <c r="C11" s="284" t="s">
        <v>394</v>
      </c>
      <c r="D11" s="202"/>
      <c r="E11" s="1014"/>
      <c r="F11" s="202"/>
      <c r="G11" s="264"/>
      <c r="H11" s="294"/>
      <c r="I11" s="295"/>
      <c r="J11" s="292"/>
      <c r="K11" s="292"/>
      <c r="L11" s="292"/>
      <c r="M11" s="292"/>
      <c r="N11" s="292"/>
      <c r="O11" s="292"/>
      <c r="P11" s="292"/>
      <c r="Q11" s="292"/>
      <c r="R11" s="292"/>
      <c r="S11" s="292"/>
      <c r="T11" s="292"/>
      <c r="U11" s="292"/>
      <c r="V11" s="292"/>
      <c r="W11" s="292"/>
      <c r="X11" s="292"/>
      <c r="Y11" s="292"/>
      <c r="Z11" s="292"/>
      <c r="AA11" s="292"/>
      <c r="AB11" s="292"/>
      <c r="AC11" s="292"/>
    </row>
    <row r="12" spans="1:29" ht="17" hidden="1" thickBot="1">
      <c r="A12" s="293"/>
      <c r="B12" s="201"/>
      <c r="C12" s="284" t="s">
        <v>395</v>
      </c>
      <c r="D12" s="202"/>
      <c r="E12" s="1014"/>
      <c r="F12" s="202"/>
      <c r="G12" s="264"/>
      <c r="H12" s="294"/>
      <c r="I12" s="295"/>
      <c r="J12" s="292"/>
      <c r="K12" s="292"/>
      <c r="L12" s="292"/>
      <c r="M12" s="292"/>
      <c r="N12" s="292"/>
      <c r="O12" s="292"/>
      <c r="P12" s="292"/>
      <c r="Q12" s="292"/>
      <c r="R12" s="292"/>
      <c r="S12" s="292"/>
      <c r="T12" s="292"/>
      <c r="U12" s="292"/>
      <c r="V12" s="292"/>
      <c r="W12" s="292"/>
      <c r="X12" s="292"/>
      <c r="Y12" s="292"/>
      <c r="Z12" s="292"/>
      <c r="AA12" s="292"/>
      <c r="AB12" s="292"/>
      <c r="AC12" s="292"/>
    </row>
    <row r="13" spans="1:29" ht="17" hidden="1" thickBot="1">
      <c r="A13" s="293"/>
      <c r="B13" s="201"/>
      <c r="C13" s="284" t="s">
        <v>396</v>
      </c>
      <c r="D13" s="202"/>
      <c r="E13" s="1014"/>
      <c r="F13" s="202"/>
      <c r="G13" s="264"/>
      <c r="H13" s="294"/>
      <c r="I13" s="295"/>
      <c r="J13" s="292"/>
      <c r="K13" s="292"/>
      <c r="L13" s="292"/>
      <c r="M13" s="292"/>
      <c r="N13" s="292"/>
      <c r="O13" s="292"/>
      <c r="P13" s="292"/>
      <c r="Q13" s="292"/>
      <c r="R13" s="292"/>
      <c r="S13" s="292"/>
      <c r="T13" s="292"/>
      <c r="U13" s="292"/>
      <c r="V13" s="292"/>
      <c r="W13" s="292"/>
      <c r="X13" s="292"/>
      <c r="Y13" s="292"/>
      <c r="Z13" s="292"/>
      <c r="AA13" s="292"/>
      <c r="AB13" s="292"/>
      <c r="AC13" s="292"/>
    </row>
    <row r="14" spans="1:29" ht="17" hidden="1" thickBot="1">
      <c r="A14" s="293"/>
      <c r="B14" s="201"/>
      <c r="C14" s="284" t="s">
        <v>260</v>
      </c>
      <c r="D14" s="202"/>
      <c r="E14" s="1014"/>
      <c r="F14" s="202"/>
      <c r="G14" s="264"/>
      <c r="H14" s="294"/>
      <c r="I14" s="295"/>
      <c r="J14" s="292"/>
      <c r="K14" s="292"/>
      <c r="L14" s="292"/>
      <c r="M14" s="292"/>
      <c r="N14" s="292"/>
      <c r="O14" s="292"/>
      <c r="P14" s="292"/>
      <c r="Q14" s="292"/>
      <c r="R14" s="292"/>
      <c r="S14" s="292"/>
      <c r="T14" s="292"/>
      <c r="U14" s="292"/>
      <c r="V14" s="292"/>
      <c r="W14" s="292"/>
      <c r="X14" s="292"/>
      <c r="Y14" s="292"/>
      <c r="Z14" s="292"/>
      <c r="AA14" s="292"/>
      <c r="AB14" s="292"/>
      <c r="AC14" s="292"/>
    </row>
    <row r="15" spans="1:29" ht="17" hidden="1" thickBot="1">
      <c r="A15" s="293"/>
      <c r="B15" s="201"/>
      <c r="C15" s="284" t="s">
        <v>261</v>
      </c>
      <c r="D15" s="202"/>
      <c r="E15" s="1014"/>
      <c r="F15" s="202"/>
      <c r="G15" s="264"/>
      <c r="H15" s="294"/>
      <c r="I15" s="295"/>
      <c r="J15" s="292"/>
      <c r="K15" s="292"/>
      <c r="L15" s="292"/>
      <c r="M15" s="292"/>
      <c r="N15" s="292"/>
      <c r="O15" s="292"/>
      <c r="P15" s="292"/>
      <c r="Q15" s="292"/>
      <c r="R15" s="292"/>
      <c r="S15" s="292"/>
      <c r="T15" s="292"/>
      <c r="U15" s="292"/>
      <c r="V15" s="292"/>
      <c r="W15" s="292"/>
      <c r="X15" s="292"/>
      <c r="Y15" s="292"/>
      <c r="Z15" s="292"/>
      <c r="AA15" s="292"/>
      <c r="AB15" s="292"/>
      <c r="AC15" s="292"/>
    </row>
    <row r="16" spans="1:29" ht="17" hidden="1" thickBot="1">
      <c r="A16" s="293"/>
      <c r="B16" s="201"/>
      <c r="C16" s="284" t="s">
        <v>664</v>
      </c>
      <c r="D16" s="202"/>
      <c r="E16" s="1014"/>
      <c r="F16" s="202"/>
      <c r="G16" s="264"/>
      <c r="H16" s="294"/>
      <c r="I16" s="295"/>
      <c r="J16" s="292"/>
      <c r="K16" s="292"/>
      <c r="L16" s="292"/>
      <c r="M16" s="292"/>
      <c r="N16" s="292"/>
      <c r="O16" s="292"/>
      <c r="P16" s="292"/>
      <c r="Q16" s="292"/>
      <c r="R16" s="292"/>
      <c r="S16" s="292"/>
      <c r="T16" s="292"/>
      <c r="U16" s="292"/>
      <c r="V16" s="292"/>
      <c r="W16" s="292"/>
      <c r="X16" s="292"/>
      <c r="Y16" s="292"/>
      <c r="Z16" s="292"/>
      <c r="AA16" s="292"/>
      <c r="AB16" s="292"/>
      <c r="AC16" s="292"/>
    </row>
    <row r="17" spans="1:29" ht="17" hidden="1" thickBot="1">
      <c r="A17" s="293"/>
      <c r="B17" s="201"/>
      <c r="C17" s="284" t="s">
        <v>666</v>
      </c>
      <c r="D17" s="202"/>
      <c r="E17" s="1014"/>
      <c r="F17" s="202"/>
      <c r="G17" s="264"/>
      <c r="H17" s="294"/>
      <c r="I17" s="295"/>
      <c r="J17" s="292"/>
      <c r="K17" s="292"/>
      <c r="L17" s="292"/>
      <c r="M17" s="292"/>
      <c r="N17" s="292"/>
      <c r="O17" s="292"/>
      <c r="P17" s="292"/>
      <c r="Q17" s="292"/>
      <c r="R17" s="292"/>
      <c r="S17" s="292"/>
      <c r="T17" s="292"/>
      <c r="U17" s="292"/>
      <c r="V17" s="292"/>
      <c r="W17" s="292"/>
      <c r="X17" s="292"/>
      <c r="Y17" s="292"/>
      <c r="Z17" s="292"/>
      <c r="AA17" s="292"/>
      <c r="AB17" s="292"/>
      <c r="AC17" s="292"/>
    </row>
    <row r="18" spans="1:29" ht="17" hidden="1" thickBot="1">
      <c r="A18" s="293"/>
      <c r="B18" s="201"/>
      <c r="C18" s="284" t="s">
        <v>35</v>
      </c>
      <c r="D18" s="202"/>
      <c r="E18" s="1014"/>
      <c r="F18" s="202"/>
      <c r="G18" s="264"/>
      <c r="H18" s="294"/>
      <c r="I18" s="295"/>
      <c r="J18" s="292"/>
      <c r="K18" s="292"/>
      <c r="L18" s="292"/>
      <c r="M18" s="292"/>
      <c r="N18" s="292"/>
      <c r="O18" s="292"/>
      <c r="P18" s="292"/>
      <c r="Q18" s="292"/>
      <c r="R18" s="292"/>
      <c r="S18" s="292"/>
      <c r="T18" s="292"/>
      <c r="U18" s="292"/>
      <c r="V18" s="292"/>
      <c r="W18" s="292"/>
      <c r="X18" s="292"/>
      <c r="Y18" s="292"/>
      <c r="Z18" s="292"/>
      <c r="AA18" s="292"/>
      <c r="AB18" s="292"/>
      <c r="AC18" s="292"/>
    </row>
    <row r="19" spans="1:29" ht="17" hidden="1" thickBot="1">
      <c r="A19" s="293"/>
      <c r="B19" s="201"/>
      <c r="C19" s="284" t="s">
        <v>51</v>
      </c>
      <c r="D19" s="202"/>
      <c r="E19" s="1014"/>
      <c r="F19" s="202"/>
      <c r="G19" s="264"/>
      <c r="H19" s="294"/>
      <c r="I19" s="292"/>
      <c r="J19" s="292"/>
      <c r="K19" s="292"/>
      <c r="L19" s="292"/>
      <c r="M19" s="292"/>
      <c r="N19" s="292"/>
      <c r="O19" s="292"/>
      <c r="P19" s="292"/>
      <c r="Q19" s="292"/>
      <c r="R19" s="292"/>
      <c r="S19" s="292"/>
      <c r="T19" s="292"/>
      <c r="U19" s="292"/>
      <c r="V19" s="292"/>
      <c r="W19" s="292"/>
      <c r="X19" s="292"/>
      <c r="Y19" s="292"/>
      <c r="Z19" s="292"/>
      <c r="AA19" s="292"/>
      <c r="AB19" s="292"/>
      <c r="AC19" s="292"/>
    </row>
    <row r="20" spans="1:29" ht="17" hidden="1" thickBot="1">
      <c r="A20" s="293"/>
      <c r="B20" s="201"/>
      <c r="C20" s="284" t="s">
        <v>368</v>
      </c>
      <c r="D20" s="202"/>
      <c r="E20" s="1014"/>
      <c r="F20" s="202"/>
      <c r="G20" s="264"/>
      <c r="H20" s="294"/>
      <c r="I20" s="292"/>
      <c r="J20" s="292"/>
      <c r="K20" s="292"/>
      <c r="L20" s="292"/>
      <c r="M20" s="292"/>
      <c r="N20" s="292"/>
      <c r="O20" s="292"/>
      <c r="P20" s="292"/>
      <c r="Q20" s="292"/>
      <c r="R20" s="292"/>
      <c r="S20" s="292"/>
      <c r="T20" s="292"/>
      <c r="U20" s="292"/>
      <c r="V20" s="292"/>
      <c r="W20" s="292"/>
      <c r="X20" s="292"/>
      <c r="Y20" s="292"/>
      <c r="Z20" s="292"/>
      <c r="AA20" s="292"/>
      <c r="AB20" s="292"/>
      <c r="AC20" s="292"/>
    </row>
    <row r="21" spans="1:29" ht="17" hidden="1" thickBot="1">
      <c r="A21" s="293"/>
      <c r="B21" s="201"/>
      <c r="C21" s="284" t="s">
        <v>53</v>
      </c>
      <c r="D21" s="202"/>
      <c r="E21" s="1014"/>
      <c r="F21" s="202"/>
      <c r="G21" s="264"/>
      <c r="H21" s="294"/>
      <c r="I21" s="292"/>
      <c r="J21" s="292"/>
      <c r="K21" s="292"/>
      <c r="L21" s="292"/>
      <c r="M21" s="292"/>
      <c r="N21" s="292"/>
      <c r="O21" s="292"/>
      <c r="P21" s="292"/>
      <c r="Q21" s="292"/>
      <c r="R21" s="292"/>
      <c r="S21" s="292"/>
      <c r="T21" s="292"/>
      <c r="U21" s="292"/>
      <c r="V21" s="292"/>
      <c r="W21" s="292"/>
      <c r="X21" s="292"/>
      <c r="Y21" s="292"/>
      <c r="Z21" s="292"/>
      <c r="AA21" s="292"/>
      <c r="AB21" s="292"/>
      <c r="AC21" s="292"/>
    </row>
    <row r="22" spans="1:29" ht="19" thickBot="1">
      <c r="A22" s="293"/>
      <c r="B22" s="938" t="s">
        <v>727</v>
      </c>
      <c r="C22" s="265"/>
      <c r="D22" s="261"/>
      <c r="E22" s="1016"/>
      <c r="F22" s="284"/>
      <c r="G22" s="264"/>
      <c r="H22" s="294"/>
      <c r="I22" s="292"/>
      <c r="J22" s="292"/>
      <c r="K22" s="292"/>
      <c r="L22" s="292"/>
      <c r="M22" s="292"/>
      <c r="N22" s="292"/>
      <c r="O22" s="292"/>
      <c r="P22" s="292"/>
      <c r="Q22" s="292"/>
      <c r="R22" s="292"/>
      <c r="S22" s="292"/>
      <c r="T22" s="292"/>
      <c r="U22" s="292"/>
      <c r="V22" s="292"/>
      <c r="W22" s="292"/>
      <c r="X22" s="292"/>
      <c r="Y22" s="292"/>
      <c r="Z22" s="292"/>
      <c r="AA22" s="292"/>
      <c r="AB22" s="292"/>
      <c r="AC22" s="292"/>
    </row>
    <row r="23" spans="1:29" ht="15" customHeight="1">
      <c r="A23" s="292"/>
      <c r="B23" s="266" t="s">
        <v>20</v>
      </c>
      <c r="C23" s="202"/>
      <c r="D23" s="261"/>
      <c r="E23" s="1017">
        <f>'Step 3. FA Balance'!I41</f>
        <v>0</v>
      </c>
      <c r="F23" s="277"/>
      <c r="G23" s="282" t="s">
        <v>185</v>
      </c>
      <c r="H23" s="294"/>
      <c r="I23" s="292"/>
      <c r="J23" s="292"/>
      <c r="K23" s="292"/>
      <c r="L23" s="292"/>
      <c r="M23" s="292"/>
      <c r="N23" s="292"/>
      <c r="O23" s="292"/>
      <c r="P23" s="292"/>
      <c r="Q23" s="292"/>
      <c r="R23" s="292"/>
      <c r="S23" s="292"/>
      <c r="T23" s="292"/>
      <c r="U23" s="292"/>
      <c r="V23" s="292"/>
      <c r="W23" s="292"/>
      <c r="X23" s="292"/>
      <c r="Y23" s="292"/>
      <c r="Z23" s="292"/>
      <c r="AA23" s="292"/>
      <c r="AB23" s="292"/>
      <c r="AC23" s="292"/>
    </row>
    <row r="24" spans="1:29" ht="16">
      <c r="A24" s="292"/>
      <c r="B24" s="266" t="s">
        <v>193</v>
      </c>
      <c r="C24" s="202"/>
      <c r="D24" s="261"/>
      <c r="E24" s="1017">
        <f>'Step 5. Review TimeControlSched'!$I$9</f>
        <v>0</v>
      </c>
      <c r="F24" s="277"/>
      <c r="G24" s="282" t="s">
        <v>81</v>
      </c>
      <c r="H24" s="294"/>
      <c r="I24" s="292"/>
      <c r="J24" s="292"/>
      <c r="K24" s="292"/>
      <c r="L24" s="292"/>
      <c r="M24" s="292"/>
      <c r="N24" s="292"/>
      <c r="O24" s="292"/>
      <c r="P24" s="292"/>
      <c r="Q24" s="292"/>
      <c r="R24" s="292"/>
      <c r="S24" s="292"/>
      <c r="T24" s="292"/>
      <c r="U24" s="292"/>
      <c r="V24" s="292"/>
      <c r="W24" s="292"/>
      <c r="X24" s="292"/>
      <c r="Y24" s="292"/>
      <c r="Z24" s="292"/>
      <c r="AA24" s="292"/>
      <c r="AB24" s="292"/>
      <c r="AC24" s="292"/>
    </row>
    <row r="25" spans="1:29" ht="16">
      <c r="A25" s="292"/>
      <c r="B25" s="266" t="s">
        <v>217</v>
      </c>
      <c r="C25" s="202"/>
      <c r="D25" s="261"/>
      <c r="E25" s="1018">
        <f>'Step 3. FA Balance'!K41</f>
        <v>0</v>
      </c>
      <c r="F25" s="278"/>
      <c r="G25" s="282" t="s">
        <v>216</v>
      </c>
      <c r="H25" s="294"/>
      <c r="I25" s="292"/>
      <c r="J25" s="292"/>
      <c r="K25" s="292"/>
      <c r="L25" s="292"/>
      <c r="M25" s="292"/>
      <c r="N25" s="292"/>
      <c r="O25" s="292"/>
      <c r="P25" s="292"/>
      <c r="Q25" s="292"/>
      <c r="R25" s="292"/>
      <c r="S25" s="292"/>
      <c r="T25" s="292"/>
      <c r="U25" s="292"/>
      <c r="V25" s="292"/>
      <c r="W25" s="292"/>
      <c r="X25" s="292"/>
      <c r="Y25" s="292"/>
      <c r="Z25" s="292"/>
      <c r="AA25" s="292"/>
      <c r="AB25" s="292"/>
      <c r="AC25" s="292"/>
    </row>
    <row r="26" spans="1:29" ht="16">
      <c r="A26" s="292"/>
      <c r="B26" s="266" t="s">
        <v>186</v>
      </c>
      <c r="C26" s="249"/>
      <c r="D26" s="202"/>
      <c r="E26" s="1017">
        <f>'Step 3. FA Balance'!M41</f>
        <v>0</v>
      </c>
      <c r="F26" s="277"/>
      <c r="G26" s="109" t="s">
        <v>113</v>
      </c>
      <c r="H26" s="294"/>
      <c r="I26" s="292"/>
      <c r="J26" s="292"/>
      <c r="K26" s="292"/>
      <c r="L26" s="292"/>
      <c r="M26" s="292"/>
      <c r="N26" s="292"/>
      <c r="O26" s="292"/>
      <c r="P26" s="292"/>
      <c r="Q26" s="292"/>
      <c r="R26" s="292"/>
      <c r="S26" s="292"/>
      <c r="T26" s="292"/>
      <c r="U26" s="292"/>
      <c r="V26" s="292"/>
      <c r="W26" s="292"/>
      <c r="X26" s="292"/>
      <c r="Y26" s="292"/>
      <c r="Z26" s="292"/>
      <c r="AA26" s="292"/>
      <c r="AB26" s="292"/>
      <c r="AC26" s="292"/>
    </row>
    <row r="27" spans="1:29" ht="18">
      <c r="A27" s="292"/>
      <c r="B27" s="263" t="s">
        <v>189</v>
      </c>
      <c r="C27" s="202"/>
      <c r="D27" s="261"/>
      <c r="E27" s="1015"/>
      <c r="F27" s="279"/>
      <c r="G27" s="264"/>
      <c r="H27" s="294"/>
      <c r="I27" s="292"/>
      <c r="J27" s="292"/>
      <c r="K27" s="292"/>
      <c r="L27" s="292"/>
      <c r="M27" s="292"/>
      <c r="N27" s="292"/>
      <c r="O27" s="292"/>
      <c r="P27" s="292"/>
      <c r="Q27" s="292"/>
      <c r="R27" s="292"/>
      <c r="S27" s="292"/>
      <c r="T27" s="292"/>
      <c r="U27" s="292"/>
      <c r="V27" s="292"/>
      <c r="W27" s="292"/>
      <c r="X27" s="292"/>
      <c r="Y27" s="292"/>
      <c r="Z27" s="292"/>
      <c r="AA27" s="292"/>
      <c r="AB27" s="292"/>
      <c r="AC27" s="292"/>
    </row>
    <row r="28" spans="1:29" ht="16">
      <c r="A28" s="292"/>
      <c r="B28" s="267" t="s">
        <v>685</v>
      </c>
      <c r="C28" s="202"/>
      <c r="D28" s="261"/>
      <c r="E28" s="265">
        <f>TotalAcreGrazed+'Step 3. FA Balance'!I224</f>
        <v>0</v>
      </c>
      <c r="F28" s="45"/>
      <c r="G28" s="282" t="s">
        <v>63</v>
      </c>
      <c r="H28" s="294"/>
      <c r="I28" s="292"/>
      <c r="J28" s="292"/>
      <c r="K28" s="292"/>
      <c r="L28" s="292"/>
      <c r="M28" s="292"/>
      <c r="N28" s="292"/>
      <c r="O28" s="292"/>
      <c r="P28" s="292"/>
      <c r="Q28" s="292"/>
      <c r="R28" s="292"/>
      <c r="S28" s="292"/>
      <c r="T28" s="292"/>
      <c r="U28" s="292"/>
      <c r="V28" s="292"/>
      <c r="W28" s="292"/>
      <c r="X28" s="292"/>
      <c r="Y28" s="292"/>
      <c r="Z28" s="292"/>
      <c r="AA28" s="292"/>
      <c r="AB28" s="292"/>
      <c r="AC28" s="292"/>
    </row>
    <row r="29" spans="1:29" ht="18" hidden="1">
      <c r="A29" s="292"/>
      <c r="B29" s="268" t="s">
        <v>462</v>
      </c>
      <c r="C29" s="269"/>
      <c r="D29" s="270"/>
      <c r="E29" s="1017">
        <f>'Step 3. FA Balance'!N266</f>
        <v>0</v>
      </c>
      <c r="F29" s="277"/>
      <c r="G29" s="109" t="s">
        <v>439</v>
      </c>
      <c r="H29" s="294"/>
      <c r="I29" s="292"/>
      <c r="J29" s="292"/>
      <c r="K29" s="292"/>
      <c r="L29" s="292"/>
      <c r="M29" s="292"/>
      <c r="N29" s="292"/>
      <c r="O29" s="292"/>
      <c r="P29" s="292"/>
      <c r="Q29" s="292"/>
      <c r="R29" s="292"/>
      <c r="S29" s="292"/>
      <c r="T29" s="292"/>
      <c r="U29" s="292"/>
      <c r="V29" s="292"/>
      <c r="W29" s="292"/>
      <c r="X29" s="292"/>
      <c r="Y29" s="292"/>
      <c r="Z29" s="292"/>
      <c r="AA29" s="292"/>
      <c r="AB29" s="292"/>
      <c r="AC29" s="292"/>
    </row>
    <row r="30" spans="1:29" ht="16.5" hidden="1" customHeight="1">
      <c r="A30" s="292"/>
      <c r="B30" s="266" t="s">
        <v>463</v>
      </c>
      <c r="C30" s="269"/>
      <c r="D30" s="270"/>
      <c r="E30" s="1017">
        <f>'Step 3. FA Balance'!N274</f>
        <v>0</v>
      </c>
      <c r="F30" s="277"/>
      <c r="G30" s="109" t="s">
        <v>439</v>
      </c>
      <c r="H30" s="294"/>
      <c r="I30" s="292"/>
      <c r="J30" s="292"/>
      <c r="K30" s="292"/>
      <c r="L30" s="292"/>
      <c r="M30" s="292"/>
      <c r="N30" s="292"/>
      <c r="O30" s="292"/>
      <c r="P30" s="292"/>
      <c r="Q30" s="292"/>
      <c r="R30" s="292"/>
      <c r="S30" s="292"/>
      <c r="T30" s="292"/>
      <c r="U30" s="292"/>
      <c r="V30" s="292"/>
      <c r="W30" s="292"/>
      <c r="X30" s="292"/>
      <c r="Y30" s="292"/>
      <c r="Z30" s="292"/>
      <c r="AA30" s="292"/>
      <c r="AB30" s="292"/>
      <c r="AC30" s="292"/>
    </row>
    <row r="31" spans="1:29" ht="16.5" hidden="1" customHeight="1">
      <c r="A31" s="292"/>
      <c r="B31" s="266" t="s">
        <v>464</v>
      </c>
      <c r="C31" s="269"/>
      <c r="D31" s="270"/>
      <c r="E31" s="1017">
        <f>'Step 3. FA Balance'!N270</f>
        <v>0</v>
      </c>
      <c r="F31" s="277"/>
      <c r="G31" s="109" t="s">
        <v>439</v>
      </c>
      <c r="H31" s="294"/>
      <c r="I31" s="292"/>
      <c r="J31" s="292"/>
      <c r="K31" s="292"/>
      <c r="L31" s="292"/>
      <c r="M31" s="292"/>
      <c r="N31" s="292"/>
      <c r="O31" s="292"/>
      <c r="P31" s="292"/>
      <c r="Q31" s="292"/>
      <c r="R31" s="292"/>
      <c r="S31" s="292"/>
      <c r="T31" s="292"/>
      <c r="U31" s="292"/>
      <c r="V31" s="292"/>
      <c r="W31" s="292"/>
      <c r="X31" s="292"/>
      <c r="Y31" s="292"/>
      <c r="Z31" s="292"/>
      <c r="AA31" s="292"/>
      <c r="AB31" s="292"/>
      <c r="AC31" s="292"/>
    </row>
    <row r="32" spans="1:29" ht="18" hidden="1">
      <c r="A32" s="292"/>
      <c r="B32" s="266" t="s">
        <v>442</v>
      </c>
      <c r="C32" s="269"/>
      <c r="D32" s="270"/>
      <c r="E32" s="1017">
        <f>E29+E30+E31</f>
        <v>0</v>
      </c>
      <c r="F32" s="277"/>
      <c r="G32" s="109" t="s">
        <v>439</v>
      </c>
      <c r="H32" s="294"/>
      <c r="I32" s="292"/>
      <c r="J32" s="292"/>
      <c r="K32" s="292"/>
      <c r="L32" s="292"/>
      <c r="M32" s="292"/>
      <c r="N32" s="292"/>
      <c r="O32" s="292"/>
      <c r="P32" s="292"/>
      <c r="Q32" s="292"/>
      <c r="R32" s="292"/>
      <c r="S32" s="292"/>
      <c r="T32" s="292"/>
      <c r="U32" s="292"/>
      <c r="V32" s="292"/>
      <c r="W32" s="292"/>
      <c r="X32" s="292"/>
      <c r="Y32" s="292"/>
      <c r="Z32" s="292"/>
      <c r="AA32" s="292"/>
      <c r="AB32" s="292"/>
      <c r="AC32" s="292"/>
    </row>
    <row r="33" spans="1:29" ht="16.5" customHeight="1">
      <c r="A33" s="292"/>
      <c r="B33" s="266" t="s">
        <v>214</v>
      </c>
      <c r="C33" s="249"/>
      <c r="D33" s="202"/>
      <c r="E33" s="1017">
        <f>'Step 3. FA Balance'!N247</f>
        <v>0</v>
      </c>
      <c r="F33" s="277"/>
      <c r="G33" s="109" t="s">
        <v>439</v>
      </c>
      <c r="H33" s="292"/>
      <c r="I33" s="292"/>
      <c r="J33" s="292"/>
      <c r="K33" s="292"/>
      <c r="L33" s="292"/>
      <c r="M33" s="292"/>
      <c r="N33" s="292"/>
      <c r="O33" s="292"/>
      <c r="P33" s="292"/>
      <c r="Q33" s="292"/>
      <c r="R33" s="292"/>
      <c r="S33" s="292"/>
      <c r="T33" s="292"/>
      <c r="U33" s="292"/>
      <c r="V33" s="292"/>
      <c r="W33" s="292"/>
      <c r="X33" s="292"/>
      <c r="Y33" s="292"/>
      <c r="Z33" s="292"/>
      <c r="AA33" s="292"/>
      <c r="AB33" s="292"/>
      <c r="AC33" s="292"/>
    </row>
    <row r="34" spans="1:29" ht="16.5" customHeight="1">
      <c r="A34" s="292"/>
      <c r="B34" s="266" t="s">
        <v>191</v>
      </c>
      <c r="C34" s="249"/>
      <c r="D34" s="202"/>
      <c r="E34" s="1017" t="e">
        <f>'Step 5. Review TimeControlSched'!$E$11</f>
        <v>#DIV/0!</v>
      </c>
      <c r="F34" s="277"/>
      <c r="G34" s="109" t="s">
        <v>52</v>
      </c>
      <c r="H34" s="292"/>
      <c r="I34" s="292"/>
      <c r="J34" s="292"/>
      <c r="K34" s="292"/>
      <c r="L34" s="292"/>
      <c r="M34" s="292"/>
      <c r="N34" s="292"/>
      <c r="O34" s="292"/>
      <c r="P34" s="292"/>
      <c r="Q34" s="292"/>
      <c r="R34" s="292"/>
      <c r="S34" s="292"/>
      <c r="T34" s="292"/>
      <c r="U34" s="292"/>
      <c r="V34" s="292"/>
      <c r="W34" s="292"/>
      <c r="X34" s="292"/>
      <c r="Y34" s="292"/>
      <c r="Z34" s="292"/>
      <c r="AA34" s="292"/>
      <c r="AB34" s="292"/>
      <c r="AC34" s="292"/>
    </row>
    <row r="35" spans="1:29" ht="17.25" customHeight="1">
      <c r="A35" s="292"/>
      <c r="B35" s="266" t="s">
        <v>686</v>
      </c>
      <c r="C35" s="249"/>
      <c r="D35" s="202"/>
      <c r="E35" s="1017">
        <f>SUM(E32:E33)</f>
        <v>0</v>
      </c>
      <c r="F35" s="277"/>
      <c r="G35" s="109" t="s">
        <v>113</v>
      </c>
      <c r="H35" s="292"/>
      <c r="I35" s="292"/>
      <c r="J35" s="292"/>
      <c r="K35" s="292"/>
      <c r="L35" s="292"/>
      <c r="M35" s="292"/>
      <c r="N35" s="292"/>
      <c r="O35" s="292"/>
      <c r="P35" s="292"/>
      <c r="Q35" s="292"/>
      <c r="R35" s="292"/>
      <c r="S35" s="292"/>
      <c r="T35" s="292"/>
      <c r="U35" s="292"/>
      <c r="V35" s="292"/>
      <c r="W35" s="292"/>
      <c r="X35" s="292"/>
      <c r="Y35" s="292"/>
      <c r="Z35" s="292"/>
      <c r="AA35" s="292"/>
      <c r="AB35" s="292"/>
      <c r="AC35" s="292"/>
    </row>
    <row r="36" spans="1:29" ht="24.75" customHeight="1">
      <c r="A36" s="292"/>
      <c r="B36" s="435" t="s">
        <v>716</v>
      </c>
      <c r="C36" s="249"/>
      <c r="D36" s="202"/>
      <c r="E36" s="1017"/>
      <c r="F36" s="277"/>
      <c r="G36" s="109"/>
      <c r="H36" s="292"/>
      <c r="I36" s="292"/>
      <c r="J36" s="292"/>
      <c r="K36" s="292"/>
      <c r="L36" s="292"/>
      <c r="M36" s="292"/>
      <c r="N36" s="292"/>
      <c r="O36" s="292"/>
      <c r="P36" s="292"/>
      <c r="Q36" s="292"/>
      <c r="R36" s="292"/>
      <c r="S36" s="292"/>
      <c r="T36" s="292"/>
      <c r="U36" s="292"/>
      <c r="V36" s="292"/>
      <c r="W36" s="292"/>
      <c r="X36" s="292"/>
      <c r="Y36" s="292"/>
      <c r="Z36" s="292"/>
      <c r="AA36" s="292"/>
      <c r="AB36" s="292"/>
      <c r="AC36" s="292"/>
    </row>
    <row r="37" spans="1:29" ht="11.25" customHeight="1">
      <c r="A37" s="292"/>
      <c r="B37" s="266"/>
      <c r="C37" s="249"/>
      <c r="D37" s="202"/>
      <c r="E37" s="1014"/>
      <c r="F37" s="280"/>
      <c r="G37" s="109"/>
      <c r="H37" s="292"/>
      <c r="I37" s="292"/>
      <c r="J37" s="292"/>
      <c r="K37" s="292"/>
      <c r="L37" s="292"/>
      <c r="M37" s="292"/>
      <c r="N37" s="292"/>
      <c r="O37" s="292"/>
      <c r="P37" s="292"/>
      <c r="Q37" s="292"/>
      <c r="R37" s="292"/>
      <c r="S37" s="292"/>
      <c r="T37" s="292"/>
      <c r="U37" s="292"/>
      <c r="V37" s="292"/>
      <c r="W37" s="292"/>
      <c r="X37" s="292"/>
      <c r="Y37" s="292"/>
      <c r="Z37" s="292"/>
      <c r="AA37" s="292"/>
      <c r="AB37" s="292"/>
      <c r="AC37" s="292"/>
    </row>
    <row r="38" spans="1:29" ht="18">
      <c r="A38" s="292"/>
      <c r="B38" s="263" t="s">
        <v>188</v>
      </c>
      <c r="C38" s="249"/>
      <c r="D38" s="249"/>
      <c r="E38" s="1019"/>
      <c r="F38" s="281"/>
      <c r="G38" s="283"/>
      <c r="H38" s="296"/>
      <c r="I38" s="292"/>
      <c r="J38" s="292"/>
      <c r="K38" s="292"/>
      <c r="L38" s="292"/>
      <c r="M38" s="292"/>
      <c r="N38" s="292"/>
      <c r="O38" s="292"/>
      <c r="P38" s="292"/>
      <c r="Q38" s="292"/>
      <c r="R38" s="292"/>
      <c r="S38" s="292"/>
      <c r="T38" s="292"/>
      <c r="U38" s="292"/>
      <c r="V38" s="292"/>
      <c r="W38" s="292"/>
      <c r="X38" s="292"/>
      <c r="Y38" s="292"/>
      <c r="Z38" s="292"/>
      <c r="AA38" s="292"/>
      <c r="AB38" s="292"/>
      <c r="AC38" s="292"/>
    </row>
    <row r="39" spans="1:29" ht="16">
      <c r="A39" s="292"/>
      <c r="B39" s="266" t="s">
        <v>215</v>
      </c>
      <c r="C39" s="249"/>
      <c r="D39" s="249"/>
      <c r="E39" s="1020">
        <f>$E$35-$E$26</f>
        <v>0</v>
      </c>
      <c r="F39" s="291"/>
      <c r="G39" s="109" t="s">
        <v>465</v>
      </c>
      <c r="H39" s="292"/>
      <c r="I39" s="292"/>
      <c r="J39" s="292"/>
      <c r="K39" s="292"/>
      <c r="L39" s="292"/>
      <c r="M39" s="292"/>
      <c r="N39" s="292"/>
      <c r="O39" s="292"/>
      <c r="P39" s="292"/>
      <c r="Q39" s="292"/>
      <c r="R39" s="292"/>
      <c r="S39" s="292"/>
      <c r="T39" s="292"/>
      <c r="U39" s="292"/>
      <c r="V39" s="292"/>
      <c r="W39" s="292"/>
      <c r="X39" s="292"/>
      <c r="Y39" s="292"/>
      <c r="Z39" s="292"/>
      <c r="AA39" s="292"/>
      <c r="AB39" s="292"/>
      <c r="AC39" s="292"/>
    </row>
    <row r="40" spans="1:29" ht="19.5" customHeight="1">
      <c r="A40" s="292"/>
      <c r="B40" s="271" t="s">
        <v>198</v>
      </c>
      <c r="C40" s="202"/>
      <c r="D40" s="202"/>
      <c r="E40" s="272" t="s">
        <v>187</v>
      </c>
      <c r="F40" s="286"/>
      <c r="G40" s="111" t="s">
        <v>183</v>
      </c>
      <c r="H40" s="292"/>
      <c r="I40" s="292"/>
      <c r="J40" s="292"/>
      <c r="K40" s="292"/>
      <c r="L40" s="292"/>
      <c r="M40" s="292"/>
      <c r="N40" s="292"/>
      <c r="O40" s="292"/>
      <c r="P40" s="292"/>
      <c r="Q40" s="292"/>
      <c r="R40" s="292"/>
      <c r="S40" s="292"/>
      <c r="T40" s="292"/>
      <c r="U40" s="292"/>
      <c r="V40" s="292"/>
      <c r="W40" s="292"/>
      <c r="X40" s="292"/>
      <c r="Y40" s="292"/>
      <c r="Z40" s="292"/>
      <c r="AA40" s="292"/>
      <c r="AB40" s="292"/>
      <c r="AC40" s="292"/>
    </row>
    <row r="41" spans="1:29" ht="20.25" customHeight="1">
      <c r="A41" s="292"/>
      <c r="B41" s="271" t="s">
        <v>197</v>
      </c>
      <c r="C41" s="272"/>
      <c r="D41" s="202"/>
      <c r="E41" s="1021">
        <f>$E$39/2000</f>
        <v>0</v>
      </c>
      <c r="F41" s="287"/>
      <c r="G41" s="109" t="s">
        <v>121</v>
      </c>
      <c r="H41" s="292"/>
      <c r="I41" s="292"/>
      <c r="J41" s="292"/>
      <c r="K41" s="292"/>
      <c r="L41" s="292"/>
      <c r="M41" s="292"/>
      <c r="N41" s="292"/>
      <c r="O41" s="292"/>
      <c r="P41" s="292"/>
      <c r="Q41" s="292"/>
      <c r="R41" s="292"/>
      <c r="S41" s="292"/>
      <c r="T41" s="292"/>
      <c r="U41" s="292"/>
      <c r="V41" s="292"/>
      <c r="W41" s="292"/>
      <c r="X41" s="292"/>
      <c r="Y41" s="292"/>
      <c r="Z41" s="292"/>
      <c r="AA41" s="292"/>
      <c r="AB41" s="292"/>
      <c r="AC41" s="292"/>
    </row>
    <row r="42" spans="1:29" ht="18">
      <c r="A42" s="292"/>
      <c r="B42" s="263" t="s">
        <v>190</v>
      </c>
      <c r="C42" s="202"/>
      <c r="D42" s="202"/>
      <c r="E42" s="1014"/>
      <c r="F42" s="202"/>
      <c r="G42" s="210"/>
      <c r="H42" s="292"/>
      <c r="I42" s="292"/>
      <c r="J42" s="292"/>
      <c r="K42" s="292"/>
      <c r="L42" s="292"/>
      <c r="M42" s="292"/>
      <c r="N42" s="292"/>
      <c r="O42" s="292"/>
      <c r="P42" s="292"/>
      <c r="Q42" s="292"/>
      <c r="R42" s="292"/>
      <c r="S42" s="292"/>
      <c r="T42" s="292"/>
      <c r="U42" s="292"/>
      <c r="V42" s="292"/>
      <c r="W42" s="292"/>
      <c r="X42" s="292"/>
      <c r="Y42" s="292"/>
      <c r="Z42" s="292"/>
      <c r="AA42" s="292"/>
      <c r="AB42" s="292"/>
      <c r="AC42" s="292"/>
    </row>
    <row r="43" spans="1:29" ht="18">
      <c r="A43" s="292"/>
      <c r="B43" s="263" t="s">
        <v>9</v>
      </c>
      <c r="C43" s="202"/>
      <c r="D43" s="202"/>
      <c r="E43" s="1014"/>
      <c r="F43" s="202"/>
      <c r="G43" s="210"/>
      <c r="H43" s="292"/>
      <c r="I43" s="292"/>
      <c r="J43" s="292"/>
      <c r="K43" s="292"/>
      <c r="L43" s="292"/>
      <c r="M43" s="292"/>
      <c r="N43" s="292"/>
      <c r="O43" s="292"/>
      <c r="P43" s="292"/>
      <c r="Q43" s="292"/>
      <c r="R43" s="292"/>
      <c r="S43" s="292"/>
      <c r="T43" s="292"/>
      <c r="U43" s="292"/>
      <c r="V43" s="292"/>
      <c r="W43" s="292"/>
      <c r="X43" s="292"/>
      <c r="Y43" s="292"/>
      <c r="Z43" s="292"/>
      <c r="AA43" s="292"/>
      <c r="AB43" s="292"/>
      <c r="AC43" s="292"/>
    </row>
    <row r="44" spans="1:29" ht="16" thickBot="1">
      <c r="A44" s="292"/>
      <c r="B44" s="273" t="s">
        <v>4</v>
      </c>
      <c r="C44" s="207"/>
      <c r="D44" s="207"/>
      <c r="E44" s="1022"/>
      <c r="F44" s="207"/>
      <c r="G44" s="289"/>
      <c r="H44" s="297"/>
      <c r="I44" s="297"/>
      <c r="J44" s="297"/>
      <c r="K44" s="292"/>
      <c r="L44" s="292"/>
      <c r="M44" s="292"/>
      <c r="N44" s="292"/>
      <c r="O44" s="292"/>
      <c r="P44" s="292"/>
      <c r="Q44" s="292"/>
      <c r="R44" s="292"/>
      <c r="S44" s="292"/>
      <c r="T44" s="292"/>
      <c r="U44" s="292"/>
      <c r="V44" s="292"/>
      <c r="W44" s="292"/>
      <c r="X44" s="292"/>
      <c r="Y44" s="292"/>
      <c r="Z44" s="292"/>
      <c r="AA44" s="292"/>
      <c r="AB44" s="292"/>
      <c r="AC44" s="292"/>
    </row>
    <row r="45" spans="1:29" ht="15.75" customHeight="1" thickBot="1">
      <c r="A45" s="292"/>
      <c r="B45" s="273" t="s">
        <v>696</v>
      </c>
      <c r="C45" s="207"/>
      <c r="D45" s="207"/>
      <c r="E45" s="1032">
        <v>365</v>
      </c>
      <c r="F45" s="1031"/>
      <c r="G45" s="109" t="s">
        <v>226</v>
      </c>
      <c r="H45" s="292"/>
      <c r="I45" s="292"/>
      <c r="J45" s="292"/>
      <c r="K45" s="292"/>
      <c r="L45" s="292"/>
      <c r="M45" s="292"/>
      <c r="N45" s="292"/>
      <c r="O45" s="292"/>
      <c r="P45" s="292"/>
      <c r="Q45" s="292"/>
      <c r="R45" s="292"/>
      <c r="S45" s="292"/>
      <c r="T45" s="292"/>
      <c r="U45" s="292"/>
      <c r="V45" s="292"/>
      <c r="W45" s="292"/>
      <c r="X45" s="292"/>
      <c r="Y45" s="292"/>
      <c r="Z45" s="292"/>
      <c r="AA45" s="292"/>
      <c r="AB45" s="292"/>
      <c r="AC45" s="292"/>
    </row>
    <row r="46" spans="1:29" ht="16">
      <c r="A46" s="292"/>
      <c r="B46" s="273" t="s">
        <v>695</v>
      </c>
      <c r="C46" s="249"/>
      <c r="D46" s="272"/>
      <c r="E46" s="1023" t="e">
        <f>$E$33/(E24*(E25/100)*E45)</f>
        <v>#DIV/0!</v>
      </c>
      <c r="F46" s="436"/>
      <c r="G46" s="109" t="s">
        <v>227</v>
      </c>
      <c r="H46" s="292"/>
      <c r="I46" s="292"/>
      <c r="J46" s="292"/>
      <c r="K46" s="292"/>
      <c r="L46" s="292"/>
      <c r="M46" s="292"/>
      <c r="N46" s="292"/>
      <c r="O46" s="292"/>
      <c r="P46" s="292"/>
      <c r="Q46" s="292"/>
      <c r="R46" s="292"/>
      <c r="S46" s="292"/>
      <c r="T46" s="292"/>
      <c r="U46" s="292"/>
      <c r="V46" s="292"/>
      <c r="W46" s="292"/>
      <c r="X46" s="292"/>
      <c r="Y46" s="292"/>
      <c r="Z46" s="292"/>
      <c r="AA46" s="292"/>
      <c r="AB46" s="292"/>
      <c r="AC46" s="292"/>
    </row>
    <row r="47" spans="1:29" ht="16.5" customHeight="1">
      <c r="A47" s="292"/>
      <c r="B47" s="273" t="s">
        <v>228</v>
      </c>
      <c r="C47" s="249"/>
      <c r="D47" s="272"/>
      <c r="E47" s="1024"/>
      <c r="F47" s="251"/>
      <c r="G47" s="109"/>
      <c r="H47" s="292"/>
      <c r="I47" s="292"/>
      <c r="J47" s="292"/>
      <c r="K47" s="292"/>
      <c r="L47" s="292"/>
      <c r="M47" s="292"/>
      <c r="N47" s="292"/>
      <c r="O47" s="292"/>
      <c r="P47" s="292"/>
      <c r="Q47" s="292"/>
      <c r="R47" s="292"/>
      <c r="S47" s="292"/>
      <c r="T47" s="292"/>
      <c r="U47" s="292"/>
      <c r="V47" s="292"/>
      <c r="W47" s="292"/>
      <c r="X47" s="292"/>
      <c r="Y47" s="292"/>
      <c r="Z47" s="292"/>
      <c r="AA47" s="292"/>
      <c r="AB47" s="292"/>
      <c r="AC47" s="292"/>
    </row>
    <row r="48" spans="1:29" ht="8.25" customHeight="1">
      <c r="A48" s="292"/>
      <c r="B48" s="273"/>
      <c r="C48" s="249"/>
      <c r="D48" s="272"/>
      <c r="E48" s="1024"/>
      <c r="F48" s="251"/>
      <c r="G48" s="109"/>
      <c r="H48" s="292"/>
      <c r="I48" s="292"/>
      <c r="J48" s="292"/>
      <c r="K48" s="292"/>
      <c r="L48" s="292"/>
      <c r="M48" s="292"/>
      <c r="N48" s="292"/>
      <c r="O48" s="292"/>
      <c r="P48" s="292"/>
      <c r="Q48" s="292"/>
      <c r="R48" s="292"/>
      <c r="S48" s="292"/>
      <c r="T48" s="292"/>
      <c r="U48" s="292"/>
      <c r="V48" s="292"/>
      <c r="W48" s="292"/>
      <c r="X48" s="292"/>
      <c r="Y48" s="292"/>
      <c r="Z48" s="292"/>
      <c r="AA48" s="292"/>
      <c r="AB48" s="292"/>
      <c r="AC48" s="292"/>
    </row>
    <row r="49" spans="1:29" ht="18.75" customHeight="1">
      <c r="A49" s="292"/>
      <c r="B49" s="267" t="s">
        <v>8</v>
      </c>
      <c r="C49" s="250"/>
      <c r="D49" s="250"/>
      <c r="E49" s="272"/>
      <c r="F49" s="250"/>
      <c r="G49" s="217"/>
      <c r="H49" s="292"/>
      <c r="I49" s="292"/>
      <c r="J49" s="292"/>
      <c r="K49" s="292"/>
      <c r="L49" s="292"/>
      <c r="M49" s="292"/>
      <c r="N49" s="292"/>
      <c r="O49" s="292"/>
      <c r="P49" s="292"/>
      <c r="Q49" s="292"/>
      <c r="R49" s="292"/>
      <c r="S49" s="292"/>
      <c r="T49" s="292"/>
      <c r="U49" s="292"/>
      <c r="V49" s="292"/>
      <c r="W49" s="292"/>
      <c r="X49" s="292"/>
      <c r="Y49" s="292"/>
      <c r="Z49" s="292"/>
      <c r="AA49" s="292"/>
      <c r="AB49" s="292"/>
      <c r="AC49" s="292"/>
    </row>
    <row r="50" spans="1:29" ht="18.75" customHeight="1">
      <c r="A50" s="292"/>
      <c r="B50" s="274" t="s">
        <v>3</v>
      </c>
      <c r="C50" s="44"/>
      <c r="D50" s="44"/>
      <c r="E50" s="1025" t="e">
        <f>IF($E$34&lt;40,((('Step 5. Review TimeControlSched'!$F$44/($E$34/100))*0.4*1.05))/('Step 3. FA Balance'!$J$41*('Step 5. Review TimeControlSched'!$I$12/100)*$E$45),"already at 40% efficiency")</f>
        <v>#DIV/0!</v>
      </c>
      <c r="F50" s="288"/>
      <c r="G50" s="109" t="e">
        <f>IF($E$34&lt;40,"head*","")</f>
        <v>#DIV/0!</v>
      </c>
      <c r="H50" s="292"/>
      <c r="I50" s="292"/>
      <c r="J50" s="292"/>
      <c r="K50" s="292"/>
      <c r="L50" s="292"/>
      <c r="M50" s="292"/>
      <c r="N50" s="292"/>
      <c r="O50" s="292"/>
      <c r="P50" s="292"/>
      <c r="Q50" s="292"/>
      <c r="R50" s="292"/>
      <c r="S50" s="292"/>
      <c r="T50" s="292"/>
      <c r="U50" s="292"/>
      <c r="V50" s="292"/>
      <c r="W50" s="292"/>
      <c r="X50" s="292"/>
      <c r="Y50" s="292"/>
      <c r="Z50" s="292"/>
      <c r="AA50" s="292"/>
      <c r="AB50" s="292"/>
      <c r="AC50" s="292"/>
    </row>
    <row r="51" spans="1:29" ht="18.75" customHeight="1">
      <c r="A51" s="292"/>
      <c r="B51" s="274" t="s">
        <v>2</v>
      </c>
      <c r="C51" s="44"/>
      <c r="D51" s="44"/>
      <c r="E51" s="1025" t="e">
        <f>IF($E$34&lt;50,((('Step 5. Review TimeControlSched'!$F$44/($E$34/100))*0.5)*1.1)/('Step 3. FA Balance'!$J$41*('Step 5. Review TimeControlSched'!$I$12/100)*$E$45),"already at 50% efficiency")</f>
        <v>#DIV/0!</v>
      </c>
      <c r="F51" s="288"/>
      <c r="G51" s="109" t="e">
        <f>IF($E$34&lt;50,"head*","")</f>
        <v>#DIV/0!</v>
      </c>
      <c r="H51" s="292"/>
      <c r="I51" s="292"/>
      <c r="J51" s="292"/>
      <c r="K51" s="292"/>
      <c r="L51" s="292"/>
      <c r="M51" s="292"/>
      <c r="N51" s="292"/>
      <c r="O51" s="292"/>
      <c r="P51" s="292"/>
      <c r="Q51" s="292"/>
      <c r="R51" s="292"/>
      <c r="S51" s="292"/>
      <c r="T51" s="292"/>
      <c r="U51" s="292"/>
      <c r="V51" s="292"/>
      <c r="W51" s="292"/>
      <c r="X51" s="292"/>
      <c r="Y51" s="292"/>
      <c r="Z51" s="292"/>
      <c r="AA51" s="292"/>
      <c r="AB51" s="292"/>
      <c r="AC51" s="292"/>
    </row>
    <row r="52" spans="1:29" ht="18.75" customHeight="1">
      <c r="A52" s="292"/>
      <c r="B52" s="274" t="s">
        <v>1</v>
      </c>
      <c r="C52" s="44"/>
      <c r="D52" s="44"/>
      <c r="E52" s="1025" t="e">
        <f>IF($E$34&lt;60,((('Step 5. Review TimeControlSched'!$F$44/($E$34/100))*0.6)*1.15)/('Step 3. FA Balance'!$J$41*('Step 5. Review TimeControlSched'!$I$12/100)*$E$45),"already at 60% efficiency")</f>
        <v>#DIV/0!</v>
      </c>
      <c r="F52" s="288"/>
      <c r="G52" s="109" t="e">
        <f>IF($E$34&lt;60,"head*","")</f>
        <v>#DIV/0!</v>
      </c>
      <c r="H52" s="292"/>
      <c r="I52" s="292"/>
      <c r="J52" s="292"/>
      <c r="K52" s="292"/>
      <c r="L52" s="292"/>
      <c r="M52" s="292"/>
      <c r="N52" s="292"/>
      <c r="O52" s="292"/>
      <c r="P52" s="292"/>
      <c r="Q52" s="292"/>
      <c r="R52" s="292"/>
      <c r="S52" s="292"/>
      <c r="T52" s="292"/>
      <c r="U52" s="292"/>
      <c r="V52" s="292"/>
      <c r="W52" s="292"/>
      <c r="X52" s="292"/>
      <c r="Y52" s="292"/>
      <c r="Z52" s="292"/>
      <c r="AA52" s="292"/>
      <c r="AB52" s="292"/>
      <c r="AC52" s="292"/>
    </row>
    <row r="53" spans="1:29" ht="18.75" customHeight="1">
      <c r="A53" s="292"/>
      <c r="B53" s="273" t="s">
        <v>11</v>
      </c>
      <c r="C53" s="44"/>
      <c r="D53" s="44"/>
      <c r="E53" s="265"/>
      <c r="F53" s="44"/>
      <c r="G53" s="109"/>
      <c r="H53" s="292"/>
      <c r="I53" s="292"/>
      <c r="J53" s="292"/>
      <c r="K53" s="292"/>
      <c r="L53" s="292"/>
      <c r="M53" s="292"/>
      <c r="N53" s="292"/>
      <c r="O53" s="292"/>
      <c r="P53" s="292"/>
      <c r="Q53" s="292"/>
      <c r="R53" s="292"/>
      <c r="S53" s="292"/>
      <c r="T53" s="292"/>
      <c r="U53" s="292"/>
      <c r="V53" s="292"/>
      <c r="W53" s="292"/>
      <c r="X53" s="292"/>
      <c r="Y53" s="292"/>
      <c r="Z53" s="292"/>
      <c r="AA53" s="292"/>
      <c r="AB53" s="292"/>
      <c r="AC53" s="292"/>
    </row>
    <row r="54" spans="1:29" ht="18.75" customHeight="1">
      <c r="A54" s="292"/>
      <c r="B54" s="273" t="s">
        <v>10</v>
      </c>
      <c r="C54" s="44"/>
      <c r="D54" s="44"/>
      <c r="E54" s="265"/>
      <c r="F54" s="44"/>
      <c r="G54" s="109"/>
      <c r="H54" s="292"/>
      <c r="I54" s="292"/>
      <c r="J54" s="292"/>
      <c r="K54" s="292"/>
      <c r="L54" s="292"/>
      <c r="M54" s="292"/>
      <c r="N54" s="292"/>
      <c r="O54" s="292"/>
      <c r="P54" s="292"/>
      <c r="Q54" s="292"/>
      <c r="R54" s="292"/>
      <c r="S54" s="292"/>
      <c r="T54" s="292"/>
      <c r="U54" s="292"/>
      <c r="V54" s="292"/>
      <c r="W54" s="292"/>
      <c r="X54" s="292"/>
      <c r="Y54" s="292"/>
      <c r="Z54" s="292"/>
      <c r="AA54" s="292"/>
      <c r="AB54" s="292"/>
      <c r="AC54" s="292"/>
    </row>
    <row r="55" spans="1:29" ht="11.25" customHeight="1" thickBot="1">
      <c r="A55" s="292"/>
      <c r="B55" s="266"/>
      <c r="C55" s="44"/>
      <c r="D55" s="44"/>
      <c r="E55" s="265"/>
      <c r="F55" s="44"/>
      <c r="G55" s="109"/>
      <c r="H55" s="292"/>
      <c r="I55" s="292"/>
      <c r="J55" s="292"/>
      <c r="K55" s="292"/>
      <c r="L55" s="292"/>
      <c r="M55" s="292"/>
      <c r="N55" s="292"/>
      <c r="O55" s="292"/>
      <c r="P55" s="292"/>
      <c r="Q55" s="292"/>
      <c r="R55" s="292"/>
      <c r="S55" s="292"/>
      <c r="T55" s="292"/>
      <c r="U55" s="292"/>
      <c r="V55" s="292"/>
      <c r="W55" s="292"/>
      <c r="X55" s="292"/>
      <c r="Y55" s="292"/>
      <c r="Z55" s="292"/>
      <c r="AA55" s="292"/>
      <c r="AB55" s="292"/>
      <c r="AC55" s="292"/>
    </row>
    <row r="56" spans="1:29" ht="20.25" hidden="1" customHeight="1">
      <c r="A56" s="292"/>
      <c r="B56" s="275" t="s">
        <v>0</v>
      </c>
      <c r="C56" s="207"/>
      <c r="D56" s="207"/>
      <c r="E56" s="1022"/>
      <c r="F56" s="207"/>
      <c r="G56" s="289"/>
      <c r="H56" s="292"/>
      <c r="I56" s="292"/>
      <c r="J56" s="292"/>
      <c r="K56" s="292"/>
      <c r="L56" s="292"/>
      <c r="M56" s="292"/>
      <c r="N56" s="292"/>
      <c r="O56" s="292"/>
      <c r="P56" s="292"/>
      <c r="Q56" s="292"/>
      <c r="R56" s="292"/>
      <c r="S56" s="292"/>
      <c r="T56" s="292"/>
      <c r="U56" s="292"/>
      <c r="V56" s="292"/>
      <c r="W56" s="292"/>
      <c r="X56" s="292"/>
      <c r="Y56" s="292"/>
      <c r="Z56" s="292"/>
      <c r="AA56" s="292"/>
      <c r="AB56" s="292"/>
      <c r="AC56" s="292"/>
    </row>
    <row r="57" spans="1:29" ht="16" hidden="1" thickBot="1">
      <c r="A57" s="292"/>
      <c r="B57" s="273" t="s">
        <v>5</v>
      </c>
      <c r="C57" s="207"/>
      <c r="D57" s="207"/>
      <c r="E57" s="1022"/>
      <c r="F57" s="207"/>
      <c r="G57" s="289"/>
      <c r="H57" s="292"/>
      <c r="I57" s="292"/>
      <c r="J57" s="292"/>
      <c r="K57" s="292"/>
      <c r="L57" s="292"/>
      <c r="M57" s="292"/>
      <c r="N57" s="292"/>
      <c r="O57" s="292"/>
      <c r="P57" s="292"/>
      <c r="Q57" s="292"/>
      <c r="R57" s="292"/>
      <c r="S57" s="292"/>
      <c r="T57" s="292"/>
      <c r="U57" s="292"/>
      <c r="V57" s="292"/>
      <c r="W57" s="292"/>
      <c r="X57" s="292"/>
      <c r="Y57" s="292"/>
      <c r="Z57" s="292"/>
      <c r="AA57" s="292"/>
      <c r="AB57" s="292"/>
      <c r="AC57" s="292"/>
    </row>
    <row r="58" spans="1:29" ht="17" hidden="1" thickBot="1">
      <c r="A58" s="292"/>
      <c r="B58" s="273" t="s">
        <v>6</v>
      </c>
      <c r="C58" s="249"/>
      <c r="D58" s="272"/>
      <c r="E58" s="1026" t="str">
        <f>IF($E$32=0,"no hay inventoried",IF($E$46&lt;(E35/(E24*(E25/100)*365)),E33/(E24*(E25/100)*E45),E35/(E24*(E25/100)*365)))</f>
        <v>no hay inventoried</v>
      </c>
      <c r="F58" s="1011"/>
      <c r="G58" s="290" t="str">
        <f>IF($E$32&gt;0,"head","")</f>
        <v/>
      </c>
      <c r="H58" s="292"/>
      <c r="I58" s="292"/>
      <c r="J58" s="292"/>
      <c r="K58" s="292"/>
      <c r="L58" s="292"/>
      <c r="M58" s="292"/>
      <c r="N58" s="292"/>
      <c r="O58" s="292"/>
      <c r="P58" s="292"/>
      <c r="Q58" s="292"/>
      <c r="R58" s="292"/>
      <c r="S58" s="292"/>
      <c r="T58" s="292"/>
      <c r="U58" s="292"/>
      <c r="V58" s="292"/>
      <c r="W58" s="292"/>
      <c r="X58" s="292"/>
      <c r="Y58" s="292"/>
      <c r="Z58" s="292"/>
      <c r="AA58" s="292"/>
      <c r="AB58" s="292"/>
      <c r="AC58" s="292"/>
    </row>
    <row r="59" spans="1:29" ht="15" hidden="1" customHeight="1">
      <c r="A59" s="292"/>
      <c r="B59" s="273" t="s">
        <v>229</v>
      </c>
      <c r="C59" s="249"/>
      <c r="D59" s="272"/>
      <c r="E59" s="1027" t="str">
        <f>IF(E32&gt;0, E32, "no hay inventoried")</f>
        <v>no hay inventoried</v>
      </c>
      <c r="F59" s="1012"/>
      <c r="G59" s="290" t="str">
        <f>IF($E$32&gt;0,"Lbs/Year","")</f>
        <v/>
      </c>
      <c r="H59" s="292"/>
      <c r="I59" s="292"/>
      <c r="J59" s="292"/>
      <c r="K59" s="292"/>
      <c r="L59" s="292"/>
      <c r="M59" s="292"/>
      <c r="N59" s="292"/>
      <c r="O59" s="292"/>
      <c r="P59" s="292"/>
      <c r="Q59" s="292"/>
      <c r="R59" s="292"/>
      <c r="S59" s="292"/>
      <c r="T59" s="292"/>
      <c r="U59" s="292"/>
      <c r="V59" s="292"/>
      <c r="W59" s="292"/>
      <c r="X59" s="292"/>
      <c r="Y59" s="292"/>
      <c r="Z59" s="292"/>
      <c r="AA59" s="292"/>
      <c r="AB59" s="292"/>
      <c r="AC59" s="292"/>
    </row>
    <row r="60" spans="1:29" ht="15.75" hidden="1" customHeight="1" thickBot="1">
      <c r="A60" s="292"/>
      <c r="B60" s="252" t="s">
        <v>225</v>
      </c>
      <c r="C60" s="276"/>
      <c r="D60" s="276"/>
      <c r="E60" s="1028"/>
      <c r="F60" s="276"/>
      <c r="G60" s="253"/>
      <c r="H60" s="292"/>
      <c r="I60" s="292"/>
      <c r="J60" s="292"/>
      <c r="K60" s="292"/>
      <c r="L60" s="292"/>
      <c r="M60" s="292"/>
      <c r="N60" s="292"/>
      <c r="O60" s="292"/>
      <c r="P60" s="292"/>
      <c r="Q60" s="292"/>
      <c r="R60" s="292"/>
      <c r="S60" s="292"/>
      <c r="T60" s="292"/>
      <c r="U60" s="292"/>
      <c r="V60" s="292"/>
      <c r="W60" s="292"/>
      <c r="X60" s="292"/>
      <c r="Y60" s="292"/>
      <c r="Z60" s="292"/>
      <c r="AA60" s="292"/>
      <c r="AB60" s="292"/>
      <c r="AC60" s="292"/>
    </row>
    <row r="61" spans="1:29" ht="20.25" customHeight="1">
      <c r="A61" s="292"/>
      <c r="B61" s="994" t="s">
        <v>206</v>
      </c>
      <c r="C61" s="995"/>
      <c r="D61" s="995"/>
      <c r="E61" s="995"/>
      <c r="F61" s="995"/>
      <c r="G61" s="996"/>
      <c r="H61" s="292"/>
      <c r="I61" s="292"/>
      <c r="J61" s="292"/>
      <c r="K61" s="292"/>
      <c r="L61" s="292"/>
      <c r="M61" s="292"/>
      <c r="N61" s="292"/>
      <c r="O61" s="292"/>
      <c r="P61" s="292"/>
      <c r="Q61" s="292"/>
      <c r="R61" s="292"/>
      <c r="S61" s="292"/>
      <c r="T61" s="292"/>
      <c r="U61" s="292"/>
      <c r="V61" s="292"/>
      <c r="W61" s="292"/>
      <c r="X61" s="292"/>
      <c r="Y61" s="292"/>
      <c r="Z61" s="292"/>
      <c r="AA61" s="292"/>
      <c r="AB61" s="292"/>
      <c r="AC61" s="292"/>
    </row>
    <row r="62" spans="1:29">
      <c r="A62" s="292"/>
      <c r="B62" s="201"/>
      <c r="C62" s="202"/>
      <c r="D62" s="202"/>
      <c r="E62" s="1014"/>
      <c r="F62" s="202"/>
      <c r="G62" s="210"/>
      <c r="H62" s="292"/>
      <c r="I62" s="292"/>
      <c r="J62" s="292"/>
      <c r="K62" s="292"/>
      <c r="L62" s="292"/>
      <c r="M62" s="292"/>
      <c r="N62" s="292"/>
      <c r="O62" s="292"/>
      <c r="P62" s="292"/>
      <c r="Q62" s="292"/>
      <c r="R62" s="292"/>
      <c r="S62" s="292"/>
      <c r="T62" s="292"/>
      <c r="U62" s="292"/>
      <c r="V62" s="292"/>
      <c r="W62" s="292"/>
      <c r="X62" s="292"/>
      <c r="Y62" s="292"/>
      <c r="Z62" s="292"/>
      <c r="AA62" s="292"/>
      <c r="AB62" s="292"/>
      <c r="AC62" s="292"/>
    </row>
    <row r="63" spans="1:29" ht="17" customHeight="1">
      <c r="A63" s="292"/>
      <c r="B63" s="298" t="s">
        <v>397</v>
      </c>
      <c r="C63" s="202"/>
      <c r="D63" s="202"/>
      <c r="E63" s="1014"/>
      <c r="F63" s="202"/>
      <c r="G63" s="210"/>
      <c r="H63" s="292"/>
      <c r="I63" s="292"/>
      <c r="J63" s="292"/>
      <c r="K63" s="292"/>
      <c r="L63" s="292"/>
      <c r="M63" s="292"/>
      <c r="N63" s="292"/>
      <c r="O63" s="292"/>
      <c r="P63" s="292"/>
      <c r="Q63" s="292"/>
      <c r="R63" s="292"/>
      <c r="S63" s="292"/>
      <c r="T63" s="292"/>
      <c r="U63" s="292"/>
      <c r="V63" s="292"/>
      <c r="W63" s="292"/>
      <c r="X63" s="292"/>
      <c r="Y63" s="292"/>
      <c r="Z63" s="292"/>
      <c r="AA63" s="292"/>
      <c r="AB63" s="292"/>
      <c r="AC63" s="292"/>
    </row>
    <row r="64" spans="1:29" ht="17" customHeight="1">
      <c r="A64" s="292"/>
      <c r="B64" s="273" t="s">
        <v>398</v>
      </c>
      <c r="C64" s="202"/>
      <c r="D64" s="202"/>
      <c r="E64" s="1014"/>
      <c r="F64" s="202"/>
      <c r="G64" s="210"/>
      <c r="H64" s="292"/>
      <c r="I64" s="292"/>
      <c r="J64" s="292"/>
      <c r="K64" s="292"/>
      <c r="L64" s="292"/>
      <c r="M64" s="292"/>
      <c r="N64" s="292"/>
      <c r="O64" s="292"/>
      <c r="P64" s="292"/>
      <c r="Q64" s="292"/>
      <c r="R64" s="292"/>
      <c r="S64" s="292"/>
      <c r="T64" s="292"/>
      <c r="U64" s="292"/>
      <c r="V64" s="292"/>
      <c r="W64" s="292"/>
      <c r="X64" s="292"/>
      <c r="Y64" s="292"/>
      <c r="Z64" s="292"/>
      <c r="AA64" s="292"/>
      <c r="AB64" s="292"/>
      <c r="AC64" s="292"/>
    </row>
    <row r="65" spans="1:29" ht="17" customHeight="1">
      <c r="A65" s="292"/>
      <c r="B65" s="299" t="s">
        <v>399</v>
      </c>
      <c r="C65" s="202"/>
      <c r="D65" s="202"/>
      <c r="E65" s="1014"/>
      <c r="F65" s="202"/>
      <c r="G65" s="210"/>
      <c r="H65" s="292"/>
      <c r="I65" s="292"/>
      <c r="J65" s="292"/>
      <c r="K65" s="292"/>
      <c r="L65" s="292"/>
      <c r="M65" s="292"/>
      <c r="N65" s="292"/>
      <c r="O65" s="292"/>
      <c r="P65" s="292"/>
      <c r="Q65" s="292"/>
      <c r="R65" s="292"/>
      <c r="S65" s="292"/>
      <c r="T65" s="292"/>
      <c r="U65" s="292"/>
      <c r="V65" s="292"/>
      <c r="W65" s="292"/>
      <c r="X65" s="292"/>
      <c r="Y65" s="292"/>
      <c r="Z65" s="292"/>
      <c r="AA65" s="292"/>
      <c r="AB65" s="292"/>
      <c r="AC65" s="292"/>
    </row>
    <row r="66" spans="1:29" ht="17" customHeight="1">
      <c r="A66" s="292"/>
      <c r="B66" s="298" t="s">
        <v>717</v>
      </c>
      <c r="C66" s="202"/>
      <c r="D66" s="202"/>
      <c r="E66" s="1014"/>
      <c r="F66" s="202"/>
      <c r="G66" s="210"/>
      <c r="H66" s="292"/>
      <c r="I66" s="292"/>
      <c r="J66" s="292"/>
      <c r="K66" s="292"/>
      <c r="L66" s="292"/>
      <c r="M66" s="292"/>
      <c r="N66" s="292"/>
      <c r="O66" s="292"/>
      <c r="P66" s="292"/>
      <c r="Q66" s="292"/>
      <c r="R66" s="292"/>
      <c r="S66" s="292"/>
      <c r="T66" s="292"/>
      <c r="U66" s="292"/>
      <c r="V66" s="292"/>
      <c r="W66" s="292"/>
      <c r="X66" s="292"/>
      <c r="Y66" s="292"/>
      <c r="Z66" s="292"/>
      <c r="AA66" s="292"/>
      <c r="AB66" s="292"/>
      <c r="AC66" s="292"/>
    </row>
    <row r="67" spans="1:29" ht="17" customHeight="1">
      <c r="A67" s="292"/>
      <c r="B67" s="298" t="s">
        <v>718</v>
      </c>
      <c r="C67" s="202"/>
      <c r="D67" s="202"/>
      <c r="E67" s="1014"/>
      <c r="F67" s="202"/>
      <c r="G67" s="210"/>
      <c r="H67" s="292"/>
      <c r="I67" s="292"/>
      <c r="J67" s="292"/>
      <c r="K67" s="292"/>
      <c r="L67" s="292"/>
      <c r="M67" s="292"/>
      <c r="N67" s="292"/>
      <c r="O67" s="292"/>
      <c r="P67" s="292"/>
      <c r="Q67" s="292"/>
      <c r="R67" s="292"/>
      <c r="S67" s="292"/>
      <c r="T67" s="292"/>
      <c r="U67" s="292"/>
      <c r="V67" s="292"/>
      <c r="W67" s="292"/>
      <c r="X67" s="292"/>
      <c r="Y67" s="292"/>
      <c r="Z67" s="292"/>
      <c r="AA67" s="292"/>
      <c r="AB67" s="292"/>
      <c r="AC67" s="292"/>
    </row>
    <row r="68" spans="1:29" ht="17" customHeight="1">
      <c r="A68" s="292"/>
      <c r="B68" s="298" t="s">
        <v>400</v>
      </c>
      <c r="C68" s="202"/>
      <c r="D68" s="202"/>
      <c r="E68" s="1014"/>
      <c r="F68" s="202"/>
      <c r="G68" s="210"/>
      <c r="H68" s="292"/>
      <c r="I68" s="292"/>
      <c r="J68" s="292"/>
      <c r="K68" s="292"/>
      <c r="L68" s="292"/>
      <c r="M68" s="292"/>
      <c r="N68" s="292"/>
      <c r="O68" s="292"/>
      <c r="P68" s="292"/>
      <c r="Q68" s="292"/>
      <c r="R68" s="292"/>
      <c r="S68" s="292"/>
      <c r="T68" s="292"/>
      <c r="U68" s="292"/>
      <c r="V68" s="292"/>
      <c r="W68" s="292"/>
      <c r="X68" s="292"/>
      <c r="Y68" s="292"/>
      <c r="Z68" s="292"/>
      <c r="AA68" s="292"/>
      <c r="AB68" s="292"/>
      <c r="AC68" s="292"/>
    </row>
    <row r="69" spans="1:29" ht="17" customHeight="1">
      <c r="A69" s="292"/>
      <c r="B69" s="298" t="s">
        <v>401</v>
      </c>
      <c r="C69" s="202"/>
      <c r="D69" s="202"/>
      <c r="E69" s="1014"/>
      <c r="F69" s="202"/>
      <c r="G69" s="210"/>
      <c r="H69" s="292"/>
      <c r="I69" s="292"/>
      <c r="J69" s="292"/>
      <c r="K69" s="292"/>
      <c r="L69" s="292"/>
      <c r="M69" s="292"/>
      <c r="N69" s="292"/>
      <c r="O69" s="292"/>
      <c r="P69" s="292"/>
      <c r="Q69" s="292"/>
      <c r="R69" s="292"/>
      <c r="S69" s="292"/>
      <c r="T69" s="292"/>
      <c r="U69" s="292"/>
      <c r="V69" s="292"/>
      <c r="W69" s="292"/>
      <c r="X69" s="292"/>
      <c r="Y69" s="292"/>
      <c r="Z69" s="292"/>
      <c r="AA69" s="292"/>
      <c r="AB69" s="292"/>
      <c r="AC69" s="292"/>
    </row>
    <row r="70" spans="1:29" ht="29.25" customHeight="1">
      <c r="A70" s="292"/>
      <c r="B70" s="997" t="s">
        <v>402</v>
      </c>
      <c r="C70" s="998"/>
      <c r="D70" s="998"/>
      <c r="E70" s="998"/>
      <c r="F70" s="998"/>
      <c r="G70" s="999"/>
      <c r="H70" s="292"/>
      <c r="I70" s="292"/>
      <c r="J70" s="292"/>
      <c r="K70" s="292"/>
      <c r="L70" s="292"/>
      <c r="M70" s="292"/>
      <c r="N70" s="292"/>
      <c r="O70" s="292"/>
      <c r="P70" s="292"/>
      <c r="Q70" s="292"/>
      <c r="R70" s="292"/>
      <c r="S70" s="292"/>
      <c r="T70" s="292"/>
      <c r="U70" s="292"/>
      <c r="V70" s="292"/>
      <c r="W70" s="292"/>
      <c r="X70" s="292"/>
      <c r="Y70" s="292"/>
      <c r="Z70" s="292"/>
      <c r="AA70" s="292"/>
      <c r="AB70" s="292"/>
      <c r="AC70" s="292"/>
    </row>
    <row r="71" spans="1:29" ht="27.75" customHeight="1">
      <c r="A71" s="292"/>
      <c r="B71" s="1000" t="s">
        <v>403</v>
      </c>
      <c r="C71" s="1001"/>
      <c r="D71" s="1001"/>
      <c r="E71" s="1001"/>
      <c r="F71" s="1001"/>
      <c r="G71" s="1002"/>
      <c r="H71" s="292"/>
      <c r="I71" s="292"/>
      <c r="J71" s="292"/>
      <c r="K71" s="292"/>
      <c r="L71" s="292"/>
      <c r="M71" s="292"/>
      <c r="N71" s="292"/>
      <c r="O71" s="292"/>
      <c r="P71" s="292"/>
      <c r="Q71" s="292"/>
      <c r="R71" s="292"/>
      <c r="S71" s="292"/>
      <c r="T71" s="292"/>
      <c r="U71" s="292"/>
      <c r="V71" s="292"/>
      <c r="W71" s="292"/>
      <c r="X71" s="292"/>
      <c r="Y71" s="292"/>
      <c r="Z71" s="292"/>
      <c r="AA71" s="292"/>
      <c r="AB71" s="292"/>
      <c r="AC71" s="292"/>
    </row>
    <row r="72" spans="1:29" ht="1.5" customHeight="1">
      <c r="A72" s="292"/>
      <c r="B72" s="298" t="s">
        <v>404</v>
      </c>
      <c r="C72" s="202"/>
      <c r="D72" s="202"/>
      <c r="E72" s="1014"/>
      <c r="F72" s="202"/>
      <c r="G72" s="210"/>
      <c r="H72" s="292"/>
      <c r="I72" s="292"/>
      <c r="J72" s="292"/>
      <c r="K72" s="292"/>
      <c r="L72" s="292"/>
      <c r="M72" s="292"/>
      <c r="N72" s="292"/>
      <c r="O72" s="292"/>
      <c r="P72" s="292"/>
      <c r="Q72" s="292"/>
      <c r="R72" s="292"/>
      <c r="S72" s="292"/>
      <c r="T72" s="292"/>
      <c r="U72" s="292"/>
      <c r="V72" s="292"/>
      <c r="W72" s="292"/>
      <c r="X72" s="292"/>
      <c r="Y72" s="292"/>
      <c r="Z72" s="292"/>
      <c r="AA72" s="292"/>
      <c r="AB72" s="292"/>
      <c r="AC72" s="292"/>
    </row>
    <row r="73" spans="1:29" ht="17.25" customHeight="1">
      <c r="A73" s="292"/>
      <c r="B73" s="300" t="s">
        <v>405</v>
      </c>
      <c r="C73" s="202"/>
      <c r="D73" s="202"/>
      <c r="E73" s="1014"/>
      <c r="F73" s="202"/>
      <c r="G73" s="210"/>
      <c r="H73" s="292"/>
      <c r="I73" s="292"/>
      <c r="J73" s="292"/>
      <c r="K73" s="292"/>
      <c r="L73" s="292"/>
      <c r="M73" s="292"/>
      <c r="N73" s="292"/>
      <c r="O73" s="292"/>
      <c r="P73" s="292"/>
      <c r="Q73" s="292"/>
      <c r="R73" s="292"/>
      <c r="S73" s="292"/>
      <c r="T73" s="292"/>
      <c r="U73" s="292"/>
      <c r="V73" s="292"/>
      <c r="W73" s="292"/>
      <c r="X73" s="292"/>
      <c r="Y73" s="292"/>
      <c r="Z73" s="292"/>
      <c r="AA73" s="292"/>
      <c r="AB73" s="292"/>
      <c r="AC73" s="292"/>
    </row>
    <row r="74" spans="1:29" ht="11.25" customHeight="1" thickBot="1">
      <c r="A74" s="292"/>
      <c r="B74" s="204"/>
      <c r="C74" s="276"/>
      <c r="D74" s="276"/>
      <c r="E74" s="1028"/>
      <c r="F74" s="276"/>
      <c r="G74" s="253"/>
      <c r="H74" s="292"/>
      <c r="I74" s="292"/>
      <c r="J74" s="292"/>
      <c r="K74" s="292"/>
      <c r="L74" s="292"/>
      <c r="M74" s="292"/>
      <c r="N74" s="292"/>
      <c r="O74" s="292"/>
      <c r="P74" s="292"/>
      <c r="Q74" s="292"/>
      <c r="R74" s="292"/>
      <c r="S74" s="292"/>
      <c r="T74" s="292"/>
      <c r="U74" s="292"/>
      <c r="V74" s="292"/>
      <c r="W74" s="292"/>
      <c r="X74" s="292"/>
      <c r="Y74" s="292"/>
      <c r="Z74" s="292"/>
      <c r="AA74" s="292"/>
      <c r="AB74" s="292"/>
      <c r="AC74" s="292"/>
    </row>
    <row r="75" spans="1:29" ht="30" customHeight="1">
      <c r="A75" s="292"/>
      <c r="B75" s="1003" t="s">
        <v>702</v>
      </c>
      <c r="C75" s="1004"/>
      <c r="D75" s="1004"/>
      <c r="E75" s="1004"/>
      <c r="F75" s="1004"/>
      <c r="G75" s="1005"/>
      <c r="H75" s="292"/>
      <c r="I75" s="292"/>
      <c r="J75" s="292"/>
      <c r="K75" s="292"/>
      <c r="L75" s="292"/>
      <c r="M75" s="292"/>
      <c r="N75" s="292"/>
      <c r="O75" s="292"/>
      <c r="P75" s="292"/>
      <c r="Q75" s="292"/>
      <c r="R75" s="292"/>
      <c r="S75" s="292"/>
      <c r="T75" s="292"/>
      <c r="U75" s="292"/>
      <c r="V75" s="292"/>
      <c r="W75" s="292"/>
      <c r="X75" s="292"/>
      <c r="Y75" s="292"/>
      <c r="Z75" s="292"/>
      <c r="AA75" s="292"/>
      <c r="AB75" s="292"/>
      <c r="AC75" s="292"/>
    </row>
    <row r="76" spans="1:29" ht="61.5" customHeight="1">
      <c r="A76" s="292"/>
      <c r="B76" s="2480" t="s">
        <v>703</v>
      </c>
      <c r="C76" s="2481"/>
      <c r="D76" s="2481"/>
      <c r="E76" s="2481"/>
      <c r="F76" s="2481"/>
      <c r="G76" s="2482"/>
      <c r="H76" s="292"/>
      <c r="I76" s="292"/>
      <c r="J76" s="292"/>
      <c r="K76" s="292"/>
      <c r="L76" s="292"/>
      <c r="M76" s="292"/>
      <c r="N76" s="292"/>
      <c r="O76" s="292"/>
      <c r="P76" s="292"/>
      <c r="Q76" s="292"/>
      <c r="R76" s="292"/>
      <c r="S76" s="292"/>
      <c r="T76" s="292"/>
      <c r="U76" s="292"/>
      <c r="V76" s="292"/>
      <c r="W76" s="292"/>
      <c r="X76" s="292"/>
      <c r="Y76" s="292"/>
      <c r="Z76" s="292"/>
      <c r="AA76" s="292"/>
      <c r="AB76" s="292"/>
      <c r="AC76" s="292"/>
    </row>
    <row r="77" spans="1:29" ht="30.75" customHeight="1">
      <c r="A77" s="292"/>
      <c r="B77" s="2477" t="s">
        <v>714</v>
      </c>
      <c r="C77" s="2478"/>
      <c r="D77" s="2478"/>
      <c r="E77" s="2478"/>
      <c r="F77" s="2478"/>
      <c r="G77" s="2479"/>
      <c r="H77" s="292"/>
      <c r="I77" s="292"/>
      <c r="J77" s="292"/>
      <c r="K77" s="292"/>
      <c r="L77" s="292"/>
      <c r="M77" s="292"/>
      <c r="N77" s="292"/>
      <c r="O77" s="292"/>
      <c r="P77" s="292"/>
      <c r="Q77" s="292"/>
      <c r="R77" s="292"/>
      <c r="S77" s="292"/>
      <c r="T77" s="292"/>
      <c r="U77" s="292"/>
      <c r="V77" s="292"/>
      <c r="W77" s="292"/>
      <c r="X77" s="292"/>
      <c r="Y77" s="292"/>
      <c r="Z77" s="292"/>
      <c r="AA77" s="292"/>
      <c r="AB77" s="292"/>
      <c r="AC77" s="292"/>
    </row>
    <row r="78" spans="1:29" ht="30.75" customHeight="1">
      <c r="A78" s="292"/>
      <c r="B78" s="2477" t="s">
        <v>1285</v>
      </c>
      <c r="C78" s="2478"/>
      <c r="D78" s="2478"/>
      <c r="E78" s="2478"/>
      <c r="F78" s="2478"/>
      <c r="G78" s="2479"/>
      <c r="H78" s="292"/>
      <c r="I78" s="292"/>
      <c r="J78" s="292"/>
      <c r="K78" s="292"/>
      <c r="L78" s="292"/>
      <c r="M78" s="292"/>
      <c r="N78" s="292"/>
      <c r="O78" s="292"/>
      <c r="P78" s="292"/>
      <c r="Q78" s="292"/>
      <c r="R78" s="292"/>
      <c r="S78" s="292"/>
      <c r="T78" s="292"/>
      <c r="U78" s="292"/>
      <c r="V78" s="292"/>
      <c r="W78" s="292"/>
      <c r="X78" s="292"/>
      <c r="Y78" s="292"/>
      <c r="Z78" s="292"/>
      <c r="AA78" s="292"/>
      <c r="AB78" s="292"/>
      <c r="AC78" s="292"/>
    </row>
    <row r="79" spans="1:29" ht="30.75" customHeight="1">
      <c r="A79" s="292"/>
      <c r="B79" s="2477" t="s">
        <v>704</v>
      </c>
      <c r="C79" s="2478"/>
      <c r="D79" s="2478"/>
      <c r="E79" s="2478"/>
      <c r="F79" s="2478"/>
      <c r="G79" s="2479"/>
      <c r="H79" s="292"/>
      <c r="I79" s="292"/>
      <c r="J79" s="292"/>
      <c r="K79" s="292"/>
      <c r="L79" s="292"/>
      <c r="M79" s="292"/>
      <c r="N79" s="292"/>
      <c r="O79" s="292"/>
      <c r="P79" s="292"/>
      <c r="Q79" s="292"/>
      <c r="R79" s="292"/>
      <c r="S79" s="292"/>
      <c r="T79" s="292"/>
      <c r="U79" s="292"/>
      <c r="V79" s="292"/>
      <c r="W79" s="292"/>
      <c r="X79" s="292"/>
      <c r="Y79" s="292"/>
      <c r="Z79" s="292"/>
      <c r="AA79" s="292"/>
      <c r="AB79" s="292"/>
      <c r="AC79" s="292"/>
    </row>
    <row r="80" spans="1:29" ht="30.75" customHeight="1">
      <c r="A80" s="292"/>
      <c r="B80" s="2477" t="s">
        <v>705</v>
      </c>
      <c r="C80" s="2478"/>
      <c r="D80" s="2478"/>
      <c r="E80" s="2478"/>
      <c r="F80" s="2478"/>
      <c r="G80" s="2479"/>
      <c r="H80" s="292"/>
      <c r="I80" s="292"/>
      <c r="J80" s="292"/>
      <c r="K80" s="292"/>
      <c r="L80" s="292"/>
      <c r="M80" s="292"/>
      <c r="N80" s="292"/>
      <c r="O80" s="292"/>
      <c r="P80" s="292"/>
      <c r="Q80" s="292"/>
      <c r="R80" s="292"/>
      <c r="S80" s="292"/>
      <c r="T80" s="292"/>
      <c r="U80" s="292"/>
      <c r="V80" s="292"/>
      <c r="W80" s="292"/>
      <c r="X80" s="292"/>
      <c r="Y80" s="292"/>
      <c r="Z80" s="292"/>
      <c r="AA80" s="292"/>
      <c r="AB80" s="292"/>
      <c r="AC80" s="292"/>
    </row>
    <row r="81" spans="1:29" ht="30.75" customHeight="1">
      <c r="A81" s="292"/>
      <c r="B81" s="2477" t="s">
        <v>706</v>
      </c>
      <c r="C81" s="2478"/>
      <c r="D81" s="2478"/>
      <c r="E81" s="2478"/>
      <c r="F81" s="2478"/>
      <c r="G81" s="2479"/>
      <c r="H81" s="292"/>
      <c r="I81" s="292"/>
      <c r="J81" s="292"/>
      <c r="K81" s="292"/>
      <c r="L81" s="292"/>
      <c r="M81" s="292"/>
      <c r="N81" s="292"/>
      <c r="O81" s="292"/>
      <c r="P81" s="292"/>
      <c r="Q81" s="292"/>
      <c r="R81" s="292"/>
      <c r="S81" s="292"/>
      <c r="T81" s="292"/>
      <c r="U81" s="292"/>
      <c r="V81" s="292"/>
      <c r="W81" s="292"/>
      <c r="X81" s="292"/>
      <c r="Y81" s="292"/>
      <c r="Z81" s="292"/>
      <c r="AA81" s="292"/>
      <c r="AB81" s="292"/>
      <c r="AC81" s="292"/>
    </row>
    <row r="82" spans="1:29" ht="30.75" customHeight="1">
      <c r="A82" s="292"/>
      <c r="B82" s="991" t="s">
        <v>697</v>
      </c>
      <c r="C82" s="992"/>
      <c r="D82" s="992"/>
      <c r="E82" s="992"/>
      <c r="F82" s="992"/>
      <c r="G82" s="993"/>
      <c r="H82" s="292"/>
      <c r="I82" s="292"/>
      <c r="J82" s="292"/>
      <c r="K82" s="292"/>
      <c r="L82" s="292"/>
      <c r="M82" s="292"/>
      <c r="N82" s="292"/>
      <c r="O82" s="292"/>
      <c r="P82" s="292"/>
      <c r="Q82" s="292"/>
      <c r="R82" s="292"/>
      <c r="S82" s="292"/>
      <c r="T82" s="292"/>
      <c r="U82" s="292"/>
      <c r="V82" s="292"/>
      <c r="W82" s="292"/>
      <c r="X82" s="292"/>
      <c r="Y82" s="292"/>
      <c r="Z82" s="292"/>
      <c r="AA82" s="292"/>
      <c r="AB82" s="292"/>
      <c r="AC82" s="292"/>
    </row>
    <row r="83" spans="1:29" ht="30.75" customHeight="1">
      <c r="A83" s="292"/>
      <c r="B83" s="991" t="s">
        <v>698</v>
      </c>
      <c r="C83" s="992"/>
      <c r="D83" s="992"/>
      <c r="E83" s="992"/>
      <c r="F83" s="992"/>
      <c r="G83" s="993"/>
      <c r="H83" s="292"/>
      <c r="I83" s="292"/>
      <c r="J83" s="292"/>
      <c r="K83" s="292"/>
      <c r="L83" s="292"/>
      <c r="M83" s="292"/>
      <c r="N83" s="292"/>
      <c r="O83" s="292"/>
      <c r="P83" s="292"/>
      <c r="Q83" s="292"/>
      <c r="R83" s="292"/>
      <c r="S83" s="292"/>
      <c r="T83" s="292"/>
      <c r="U83" s="292"/>
      <c r="V83" s="292"/>
      <c r="W83" s="292"/>
      <c r="X83" s="292"/>
      <c r="Y83" s="292"/>
      <c r="Z83" s="292"/>
      <c r="AA83" s="292"/>
      <c r="AB83" s="292"/>
      <c r="AC83" s="292"/>
    </row>
    <row r="84" spans="1:29" ht="30.75" customHeight="1">
      <c r="A84" s="292"/>
      <c r="B84" s="991" t="s">
        <v>699</v>
      </c>
      <c r="C84" s="992"/>
      <c r="D84" s="992"/>
      <c r="E84" s="992"/>
      <c r="F84" s="992"/>
      <c r="G84" s="993"/>
      <c r="H84" s="292"/>
      <c r="I84" s="292"/>
      <c r="J84" s="292"/>
      <c r="K84" s="292"/>
      <c r="L84" s="292"/>
      <c r="M84" s="292"/>
      <c r="N84" s="292"/>
      <c r="O84" s="292"/>
      <c r="P84" s="292"/>
      <c r="Q84" s="292"/>
      <c r="R84" s="292"/>
      <c r="S84" s="292"/>
      <c r="T84" s="292"/>
      <c r="U84" s="292"/>
      <c r="V84" s="292"/>
      <c r="W84" s="292"/>
      <c r="X84" s="292"/>
      <c r="Y84" s="292"/>
      <c r="Z84" s="292"/>
      <c r="AA84" s="292"/>
      <c r="AB84" s="292"/>
      <c r="AC84" s="292"/>
    </row>
    <row r="85" spans="1:29" ht="30.75" customHeight="1">
      <c r="A85" s="292"/>
      <c r="B85" s="991" t="s">
        <v>701</v>
      </c>
      <c r="C85" s="992"/>
      <c r="D85" s="992"/>
      <c r="E85" s="992"/>
      <c r="F85" s="992"/>
      <c r="G85" s="993"/>
      <c r="H85" s="292"/>
      <c r="I85" s="292"/>
      <c r="J85" s="292"/>
      <c r="K85" s="292"/>
      <c r="L85" s="292"/>
      <c r="M85" s="292"/>
      <c r="N85" s="292"/>
      <c r="O85" s="292"/>
      <c r="P85" s="292"/>
      <c r="Q85" s="292"/>
      <c r="R85" s="292"/>
      <c r="S85" s="292"/>
      <c r="T85" s="292"/>
      <c r="U85" s="292"/>
      <c r="V85" s="292"/>
      <c r="W85" s="292"/>
      <c r="X85" s="292"/>
      <c r="Y85" s="292"/>
      <c r="Z85" s="292"/>
      <c r="AA85" s="292"/>
      <c r="AB85" s="292"/>
      <c r="AC85" s="292"/>
    </row>
    <row r="86" spans="1:29" ht="30.75" customHeight="1" thickBot="1">
      <c r="A86" s="292"/>
      <c r="B86" s="1006" t="s">
        <v>700</v>
      </c>
      <c r="C86" s="1007"/>
      <c r="D86" s="1007"/>
      <c r="E86" s="1007"/>
      <c r="F86" s="1007"/>
      <c r="G86" s="1008"/>
      <c r="H86" s="292"/>
      <c r="I86" s="292"/>
      <c r="J86" s="292"/>
      <c r="K86" s="292"/>
      <c r="L86" s="292"/>
      <c r="M86" s="292"/>
      <c r="N86" s="292"/>
      <c r="O86" s="292"/>
      <c r="P86" s="292"/>
      <c r="Q86" s="292"/>
      <c r="R86" s="292"/>
      <c r="S86" s="292"/>
      <c r="T86" s="292"/>
      <c r="U86" s="292"/>
      <c r="V86" s="292"/>
      <c r="W86" s="292"/>
      <c r="X86" s="292"/>
      <c r="Y86" s="292"/>
      <c r="Z86" s="292"/>
      <c r="AA86" s="292"/>
      <c r="AB86" s="292"/>
      <c r="AC86" s="292"/>
    </row>
    <row r="87" spans="1:29">
      <c r="A87" s="292"/>
      <c r="B87" s="292"/>
      <c r="C87" s="292"/>
      <c r="D87" s="292"/>
      <c r="E87" s="1013"/>
      <c r="F87" s="292"/>
      <c r="G87" s="292"/>
      <c r="H87" s="292"/>
      <c r="I87" s="292"/>
      <c r="J87" s="292"/>
      <c r="K87" s="292"/>
      <c r="L87" s="292"/>
      <c r="M87" s="292"/>
      <c r="N87" s="292"/>
      <c r="O87" s="292"/>
      <c r="P87" s="292"/>
      <c r="Q87" s="292"/>
      <c r="R87" s="292"/>
      <c r="S87" s="292"/>
      <c r="T87" s="292"/>
      <c r="U87" s="292"/>
      <c r="V87" s="292"/>
      <c r="W87" s="292"/>
      <c r="X87" s="292"/>
      <c r="Y87" s="292"/>
      <c r="Z87" s="292"/>
      <c r="AA87" s="292"/>
      <c r="AB87" s="292"/>
      <c r="AC87" s="292"/>
    </row>
    <row r="88" spans="1:29">
      <c r="A88" s="292"/>
      <c r="B88" s="292"/>
      <c r="C88" s="292"/>
      <c r="D88" s="292"/>
      <c r="E88" s="1013"/>
      <c r="F88" s="292"/>
      <c r="G88" s="292"/>
      <c r="H88" s="292"/>
      <c r="I88" s="292"/>
      <c r="J88" s="292"/>
      <c r="K88" s="292"/>
      <c r="L88" s="292"/>
      <c r="M88" s="292"/>
      <c r="N88" s="292"/>
      <c r="O88" s="292"/>
      <c r="P88" s="292"/>
      <c r="Q88" s="292"/>
      <c r="R88" s="292"/>
      <c r="S88" s="292"/>
      <c r="T88" s="292"/>
      <c r="U88" s="292"/>
      <c r="V88" s="292"/>
      <c r="W88" s="292"/>
      <c r="X88" s="292"/>
      <c r="Y88" s="292"/>
      <c r="Z88" s="292"/>
      <c r="AA88" s="292"/>
      <c r="AB88" s="292"/>
      <c r="AC88" s="292"/>
    </row>
    <row r="89" spans="1:29">
      <c r="A89" s="292"/>
      <c r="B89" s="292"/>
      <c r="C89" s="292"/>
      <c r="D89" s="292"/>
      <c r="E89" s="1013"/>
      <c r="F89" s="292"/>
      <c r="G89" s="292"/>
      <c r="H89" s="292"/>
      <c r="I89" s="292"/>
      <c r="J89" s="292"/>
      <c r="K89" s="292"/>
      <c r="L89" s="292"/>
      <c r="M89" s="292"/>
      <c r="N89" s="292"/>
      <c r="O89" s="292"/>
      <c r="P89" s="292"/>
      <c r="Q89" s="292"/>
      <c r="R89" s="292"/>
      <c r="S89" s="292"/>
      <c r="T89" s="292"/>
      <c r="U89" s="292"/>
      <c r="V89" s="292"/>
      <c r="W89" s="292"/>
      <c r="X89" s="292"/>
      <c r="Y89" s="292"/>
      <c r="Z89" s="292"/>
      <c r="AA89" s="292"/>
      <c r="AB89" s="292"/>
      <c r="AC89" s="292"/>
    </row>
    <row r="90" spans="1:29">
      <c r="A90" s="292"/>
      <c r="B90" s="292"/>
      <c r="C90" s="292"/>
      <c r="D90" s="292"/>
      <c r="E90" s="1013"/>
      <c r="F90" s="292"/>
      <c r="G90" s="292"/>
      <c r="H90" s="292"/>
      <c r="I90" s="292"/>
      <c r="J90" s="292"/>
      <c r="K90" s="292"/>
      <c r="L90" s="292"/>
      <c r="M90" s="292"/>
      <c r="N90" s="292"/>
      <c r="O90" s="292"/>
      <c r="P90" s="292"/>
      <c r="Q90" s="292"/>
      <c r="R90" s="292"/>
      <c r="S90" s="292"/>
      <c r="T90" s="292"/>
      <c r="U90" s="292"/>
      <c r="V90" s="292"/>
      <c r="W90" s="292"/>
      <c r="X90" s="292"/>
      <c r="Y90" s="292"/>
      <c r="Z90" s="292"/>
      <c r="AA90" s="292"/>
      <c r="AB90" s="292"/>
      <c r="AC90" s="292"/>
    </row>
    <row r="91" spans="1:29">
      <c r="A91" s="292"/>
      <c r="B91" s="292"/>
      <c r="C91" s="292"/>
      <c r="D91" s="292"/>
      <c r="E91" s="1013"/>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row>
    <row r="92" spans="1:29">
      <c r="A92" s="292"/>
      <c r="B92" s="292"/>
      <c r="C92" s="292"/>
      <c r="D92" s="292"/>
      <c r="E92" s="1013"/>
      <c r="F92" s="292"/>
      <c r="G92" s="292"/>
      <c r="H92" s="292"/>
      <c r="I92" s="292"/>
      <c r="J92" s="292"/>
      <c r="K92" s="292"/>
      <c r="L92" s="292"/>
      <c r="M92" s="292"/>
      <c r="N92" s="292"/>
      <c r="O92" s="292"/>
      <c r="P92" s="292"/>
      <c r="Q92" s="292"/>
      <c r="R92" s="292"/>
      <c r="S92" s="292"/>
      <c r="T92" s="292"/>
      <c r="U92" s="292"/>
      <c r="V92" s="292"/>
      <c r="W92" s="292"/>
      <c r="X92" s="292"/>
      <c r="Y92" s="292"/>
      <c r="Z92" s="292"/>
      <c r="AA92" s="292"/>
      <c r="AB92" s="292"/>
      <c r="AC92" s="292"/>
    </row>
    <row r="93" spans="1:29">
      <c r="A93" s="292"/>
      <c r="B93" s="292"/>
      <c r="C93" s="292"/>
      <c r="D93" s="292"/>
      <c r="E93" s="1013"/>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row>
    <row r="94" spans="1:29">
      <c r="A94" s="292"/>
      <c r="B94" s="292"/>
      <c r="C94" s="292"/>
      <c r="D94" s="292"/>
      <c r="E94" s="1013"/>
      <c r="F94" s="292"/>
      <c r="G94" s="292"/>
      <c r="H94" s="292"/>
      <c r="I94" s="292"/>
      <c r="J94" s="292"/>
      <c r="K94" s="292"/>
      <c r="L94" s="292"/>
      <c r="M94" s="292"/>
      <c r="N94" s="292"/>
      <c r="O94" s="292"/>
      <c r="P94" s="292"/>
      <c r="Q94" s="292"/>
      <c r="R94" s="292"/>
      <c r="S94" s="292"/>
      <c r="T94" s="292"/>
      <c r="U94" s="292"/>
      <c r="V94" s="292"/>
      <c r="W94" s="292"/>
      <c r="X94" s="292"/>
      <c r="Y94" s="292"/>
      <c r="Z94" s="292"/>
      <c r="AA94" s="292"/>
      <c r="AB94" s="292"/>
      <c r="AC94" s="292"/>
    </row>
    <row r="95" spans="1:29">
      <c r="A95" s="292"/>
      <c r="B95" s="292"/>
      <c r="C95" s="292"/>
      <c r="D95" s="292"/>
      <c r="E95" s="1013"/>
      <c r="F95" s="292"/>
      <c r="G95" s="292"/>
      <c r="H95" s="292"/>
      <c r="I95" s="292"/>
      <c r="J95" s="292"/>
      <c r="K95" s="292"/>
      <c r="L95" s="292"/>
      <c r="M95" s="292"/>
      <c r="N95" s="292"/>
      <c r="O95" s="292"/>
      <c r="P95" s="292"/>
      <c r="Q95" s="292"/>
      <c r="R95" s="292"/>
      <c r="S95" s="292"/>
      <c r="T95" s="292"/>
      <c r="U95" s="292"/>
      <c r="V95" s="292"/>
      <c r="W95" s="292"/>
      <c r="X95" s="292"/>
      <c r="Y95" s="292"/>
      <c r="Z95" s="292"/>
      <c r="AA95" s="292"/>
      <c r="AB95" s="292"/>
      <c r="AC95" s="292"/>
    </row>
    <row r="96" spans="1:29">
      <c r="A96" s="292"/>
      <c r="B96" s="292"/>
      <c r="C96" s="292"/>
      <c r="D96" s="292"/>
      <c r="E96" s="1013"/>
      <c r="F96" s="292"/>
      <c r="G96" s="292"/>
      <c r="H96" s="292"/>
      <c r="I96" s="292"/>
      <c r="J96" s="292"/>
      <c r="K96" s="292"/>
      <c r="L96" s="292"/>
      <c r="M96" s="292"/>
      <c r="N96" s="292"/>
      <c r="O96" s="292"/>
      <c r="P96" s="292"/>
      <c r="Q96" s="292"/>
      <c r="R96" s="292"/>
      <c r="S96" s="292"/>
      <c r="T96" s="292"/>
      <c r="U96" s="292"/>
      <c r="V96" s="292"/>
      <c r="W96" s="292"/>
      <c r="X96" s="292"/>
      <c r="Y96" s="292"/>
      <c r="Z96" s="292"/>
      <c r="AA96" s="292"/>
      <c r="AB96" s="292"/>
      <c r="AC96" s="292"/>
    </row>
    <row r="97" spans="1:29">
      <c r="A97" s="292"/>
      <c r="B97" s="292"/>
      <c r="C97" s="292"/>
      <c r="D97" s="292"/>
      <c r="E97" s="1013"/>
      <c r="F97" s="292"/>
      <c r="G97" s="292"/>
      <c r="H97" s="292"/>
      <c r="I97" s="292"/>
      <c r="J97" s="292"/>
      <c r="K97" s="292"/>
      <c r="L97" s="292"/>
      <c r="M97" s="292"/>
      <c r="N97" s="292"/>
      <c r="O97" s="292"/>
      <c r="P97" s="292"/>
      <c r="Q97" s="292"/>
      <c r="R97" s="292"/>
      <c r="S97" s="292"/>
      <c r="T97" s="292"/>
      <c r="U97" s="292"/>
      <c r="V97" s="292"/>
      <c r="W97" s="292"/>
      <c r="X97" s="292"/>
      <c r="Y97" s="292"/>
      <c r="Z97" s="292"/>
      <c r="AA97" s="292"/>
      <c r="AB97" s="292"/>
      <c r="AC97" s="292"/>
    </row>
    <row r="98" spans="1:29">
      <c r="A98" s="292"/>
      <c r="B98" s="292"/>
      <c r="C98" s="292"/>
      <c r="D98" s="292"/>
      <c r="E98" s="1013"/>
      <c r="F98" s="292"/>
      <c r="G98" s="292"/>
      <c r="H98" s="292"/>
      <c r="I98" s="292"/>
      <c r="J98" s="292"/>
      <c r="K98" s="292"/>
      <c r="L98" s="292"/>
      <c r="M98" s="292"/>
      <c r="N98" s="292"/>
      <c r="O98" s="292"/>
      <c r="P98" s="292"/>
      <c r="Q98" s="292"/>
      <c r="R98" s="292"/>
      <c r="S98" s="292"/>
      <c r="T98" s="292"/>
      <c r="U98" s="292"/>
      <c r="V98" s="292"/>
      <c r="W98" s="292"/>
      <c r="X98" s="292"/>
      <c r="Y98" s="292"/>
      <c r="Z98" s="292"/>
      <c r="AA98" s="292"/>
      <c r="AB98" s="292"/>
      <c r="AC98" s="292"/>
    </row>
    <row r="99" spans="1:29">
      <c r="A99" s="292"/>
      <c r="B99" s="292"/>
      <c r="C99" s="292"/>
      <c r="D99" s="292"/>
      <c r="E99" s="1013"/>
      <c r="F99" s="292"/>
      <c r="G99" s="292"/>
      <c r="H99" s="292"/>
      <c r="I99" s="292"/>
      <c r="J99" s="292"/>
      <c r="K99" s="292"/>
      <c r="L99" s="292"/>
      <c r="M99" s="292"/>
      <c r="N99" s="292"/>
      <c r="O99" s="292"/>
      <c r="P99" s="292"/>
      <c r="Q99" s="292"/>
      <c r="R99" s="292"/>
      <c r="S99" s="292"/>
      <c r="T99" s="292"/>
      <c r="U99" s="292"/>
      <c r="V99" s="292"/>
      <c r="W99" s="292"/>
      <c r="X99" s="292"/>
      <c r="Y99" s="292"/>
      <c r="Z99" s="292"/>
      <c r="AA99" s="292"/>
      <c r="AB99" s="292"/>
      <c r="AC99" s="292"/>
    </row>
    <row r="100" spans="1:29">
      <c r="A100" s="292"/>
      <c r="B100" s="292"/>
      <c r="C100" s="292"/>
      <c r="D100" s="292"/>
      <c r="E100" s="1013"/>
      <c r="F100" s="292"/>
      <c r="G100" s="292"/>
      <c r="H100" s="292"/>
      <c r="I100" s="292"/>
      <c r="J100" s="292"/>
      <c r="K100" s="292"/>
      <c r="L100" s="292"/>
      <c r="M100" s="292"/>
      <c r="N100" s="292"/>
      <c r="O100" s="292"/>
      <c r="P100" s="292"/>
      <c r="Q100" s="292"/>
      <c r="R100" s="292"/>
      <c r="S100" s="292"/>
      <c r="T100" s="292"/>
      <c r="U100" s="292"/>
      <c r="V100" s="292"/>
      <c r="W100" s="292"/>
      <c r="X100" s="292"/>
      <c r="Y100" s="292"/>
      <c r="Z100" s="292"/>
      <c r="AA100" s="292"/>
      <c r="AB100" s="292"/>
      <c r="AC100" s="292"/>
    </row>
    <row r="101" spans="1:29">
      <c r="A101" s="292"/>
      <c r="B101" s="292"/>
      <c r="C101" s="292"/>
      <c r="D101" s="292"/>
      <c r="E101" s="1013"/>
      <c r="F101" s="292"/>
      <c r="G101" s="292"/>
      <c r="H101" s="292"/>
      <c r="I101" s="292"/>
      <c r="J101" s="292"/>
      <c r="K101" s="292"/>
      <c r="L101" s="292"/>
      <c r="M101" s="292"/>
      <c r="N101" s="292"/>
      <c r="O101" s="292"/>
      <c r="P101" s="292"/>
      <c r="Q101" s="292"/>
      <c r="R101" s="292"/>
      <c r="S101" s="292"/>
      <c r="T101" s="292"/>
      <c r="U101" s="292"/>
      <c r="V101" s="292"/>
      <c r="W101" s="292"/>
      <c r="X101" s="292"/>
      <c r="Y101" s="292"/>
      <c r="Z101" s="292"/>
      <c r="AA101" s="292"/>
      <c r="AB101" s="292"/>
      <c r="AC101" s="292"/>
    </row>
    <row r="107" spans="1:29" ht="23.25" customHeight="1"/>
    <row r="108" spans="1:29" ht="60.75" customHeight="1"/>
    <row r="109" spans="1:29" ht="37.5" customHeight="1"/>
    <row r="110" spans="1:29" ht="31.5" customHeight="1"/>
    <row r="111" spans="1:29" ht="37.5" customHeight="1"/>
    <row r="113" spans="2:7" ht="15">
      <c r="B113" s="944"/>
      <c r="C113" s="944"/>
      <c r="D113" s="944"/>
      <c r="E113" s="1030"/>
      <c r="F113" s="944"/>
      <c r="G113" s="944"/>
    </row>
    <row r="114" spans="2:7" ht="15">
      <c r="B114" s="944"/>
      <c r="C114" s="944"/>
      <c r="D114" s="944"/>
      <c r="E114" s="1030"/>
      <c r="F114" s="944"/>
      <c r="G114" s="944"/>
    </row>
    <row r="115" spans="2:7" ht="15">
      <c r="B115" s="944"/>
      <c r="C115" s="944"/>
      <c r="D115" s="944"/>
      <c r="E115" s="1030"/>
      <c r="F115" s="944"/>
      <c r="G115" s="944"/>
    </row>
  </sheetData>
  <sheetProtection algorithmName="SHA-512" hashValue="4zn3oD7i/GINOamZp0/SNIA+A7RWFkKM0KXnyH/V7REqsSBb+6wWzRNcmi+ZVi9y4HUdP7CJ86/RYb8VbLWM+Q==" saltValue="Zc7PuxJvqHUsPOWicgh6iw==" spinCount="100000" sheet="1" objects="1" scenarios="1"/>
  <mergeCells count="7">
    <mergeCell ref="B2:G2"/>
    <mergeCell ref="B80:G80"/>
    <mergeCell ref="B81:G81"/>
    <mergeCell ref="B76:G76"/>
    <mergeCell ref="B77:G77"/>
    <mergeCell ref="B78:G78"/>
    <mergeCell ref="B79:G79"/>
  </mergeCells>
  <phoneticPr fontId="26" type="noConversion"/>
  <pageMargins left="0.46" right="0.09" top="0.56000000000000005" bottom="0.75" header="0.5" footer="0.5"/>
  <pageSetup scale="70" orientation="portrait" blackAndWhite="1" r:id="rId1"/>
  <headerFooter alignWithMargins="0"/>
  <rowBreaks count="1" manualBreakCount="1">
    <brk id="74" max="16383" man="1"/>
  </rowBreak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88F84-BA30-4ED1-BD35-59E38182D0A7}">
  <sheetPr codeName="Sheet2">
    <tabColor theme="5" tint="0.79998168889431442"/>
  </sheetPr>
  <dimension ref="A1:R93"/>
  <sheetViews>
    <sheetView zoomScale="80" zoomScaleNormal="80" workbookViewId="0">
      <selection activeCell="E9" sqref="E9"/>
    </sheetView>
  </sheetViews>
  <sheetFormatPr baseColWidth="10" defaultColWidth="8.83203125" defaultRowHeight="14"/>
  <cols>
    <col min="1" max="1" width="4.33203125" customWidth="1"/>
    <col min="2" max="2" width="18.1640625" customWidth="1"/>
    <col min="3" max="3" width="39.83203125" customWidth="1"/>
    <col min="4" max="4" width="14.1640625" customWidth="1"/>
    <col min="5" max="5" width="20.83203125" customWidth="1"/>
    <col min="6" max="6" width="18.83203125" customWidth="1"/>
    <col min="7" max="7" width="10.83203125" customWidth="1"/>
    <col min="8" max="8" width="18.5" customWidth="1"/>
    <col min="9" max="9" width="17.33203125" customWidth="1"/>
    <col min="10" max="10" width="17.83203125" customWidth="1"/>
    <col min="11" max="11" width="19.1640625" customWidth="1"/>
  </cols>
  <sheetData>
    <row r="1" spans="1:18" ht="15" thickBot="1">
      <c r="A1" s="254"/>
      <c r="B1" s="254"/>
      <c r="C1" s="254"/>
      <c r="D1" s="254"/>
      <c r="E1" s="254"/>
      <c r="F1" s="254"/>
      <c r="G1" s="254"/>
      <c r="H1" s="254"/>
      <c r="I1" s="254"/>
      <c r="J1" s="254"/>
      <c r="K1" s="254"/>
      <c r="L1" s="254"/>
      <c r="M1" s="254"/>
      <c r="N1" s="254"/>
      <c r="O1" s="254"/>
      <c r="P1" s="254"/>
      <c r="Q1" s="254"/>
      <c r="R1" s="254"/>
    </row>
    <row r="2" spans="1:18" ht="27" customHeight="1">
      <c r="A2" s="305"/>
      <c r="B2" s="199"/>
      <c r="C2" s="200"/>
      <c r="D2" s="200"/>
      <c r="E2" s="208" t="s">
        <v>232</v>
      </c>
      <c r="F2" s="200"/>
      <c r="G2" s="200"/>
      <c r="H2" s="200"/>
      <c r="I2" s="200"/>
      <c r="J2" s="200"/>
      <c r="K2" s="209"/>
      <c r="L2" s="254"/>
      <c r="M2" s="254"/>
      <c r="N2" s="254"/>
      <c r="O2" s="254"/>
      <c r="P2" s="254"/>
      <c r="Q2" s="254"/>
      <c r="R2" s="254"/>
    </row>
    <row r="3" spans="1:18" ht="15">
      <c r="A3" s="305"/>
      <c r="B3" s="201"/>
      <c r="C3" s="202"/>
      <c r="D3" s="202"/>
      <c r="E3" s="202"/>
      <c r="F3" s="202"/>
      <c r="G3" s="202"/>
      <c r="H3" s="202"/>
      <c r="I3" s="202"/>
      <c r="J3" s="202"/>
      <c r="K3" s="210"/>
      <c r="L3" s="255"/>
      <c r="M3" s="254"/>
      <c r="N3" s="254"/>
      <c r="O3" s="254"/>
      <c r="P3" s="254"/>
      <c r="Q3" s="254"/>
      <c r="R3" s="254"/>
    </row>
    <row r="4" spans="1:18" ht="19.5" customHeight="1">
      <c r="A4" s="305"/>
      <c r="B4" s="932"/>
      <c r="C4" s="2501" t="s">
        <v>720</v>
      </c>
      <c r="D4" s="2502"/>
      <c r="E4" s="2502"/>
      <c r="F4" s="2502"/>
      <c r="G4" s="2502"/>
      <c r="H4" s="2502"/>
      <c r="I4" s="2502"/>
      <c r="J4" s="2503"/>
      <c r="K4" s="303"/>
      <c r="L4" s="255"/>
      <c r="M4" s="254"/>
      <c r="N4" s="254"/>
      <c r="O4" s="254"/>
      <c r="P4" s="254"/>
      <c r="Q4" s="254"/>
      <c r="R4" s="254"/>
    </row>
    <row r="5" spans="1:18" ht="19.5" customHeight="1">
      <c r="A5" s="305"/>
      <c r="B5" s="304"/>
      <c r="C5" s="2504"/>
      <c r="D5" s="2505"/>
      <c r="E5" s="2505"/>
      <c r="F5" s="2505"/>
      <c r="G5" s="2505"/>
      <c r="H5" s="2505"/>
      <c r="I5" s="2505"/>
      <c r="J5" s="2506"/>
      <c r="K5" s="303"/>
      <c r="L5" s="255"/>
      <c r="M5" s="254"/>
      <c r="N5" s="254"/>
      <c r="O5" s="254"/>
      <c r="P5" s="254"/>
      <c r="Q5" s="254"/>
      <c r="R5" s="254"/>
    </row>
    <row r="6" spans="1:18" ht="17.25" customHeight="1">
      <c r="A6" s="305"/>
      <c r="B6" s="201"/>
      <c r="C6" s="202"/>
      <c r="D6" s="265" t="s">
        <v>23</v>
      </c>
      <c r="E6" s="211">
        <f>'Step 3. FA Balance'!$H$6</f>
        <v>0</v>
      </c>
      <c r="F6" s="202"/>
      <c r="G6" s="202"/>
      <c r="H6" s="265" t="s">
        <v>25</v>
      </c>
      <c r="I6" s="212">
        <f>'Step 3. FA Balance'!$H$9</f>
        <v>0</v>
      </c>
      <c r="J6" s="213"/>
      <c r="K6" s="210"/>
      <c r="L6" s="255"/>
      <c r="M6" s="254"/>
      <c r="N6" s="254"/>
      <c r="O6" s="254"/>
      <c r="P6" s="254"/>
      <c r="Q6" s="254"/>
      <c r="R6" s="254"/>
    </row>
    <row r="7" spans="1:18" ht="16">
      <c r="A7" s="305"/>
      <c r="B7" s="201"/>
      <c r="C7" s="202"/>
      <c r="D7" s="265" t="s">
        <v>24</v>
      </c>
      <c r="E7" s="212">
        <f>'Step 3. FA Balance'!$H$7</f>
        <v>0</v>
      </c>
      <c r="F7" s="202"/>
      <c r="G7" s="202"/>
      <c r="H7" s="265" t="s">
        <v>27</v>
      </c>
      <c r="I7" s="214">
        <f>'Step 3. FA Balance'!$H$8</f>
        <v>0</v>
      </c>
      <c r="J7" s="213"/>
      <c r="K7" s="210"/>
      <c r="L7" s="255"/>
      <c r="M7" s="254"/>
      <c r="N7" s="2483" t="s">
        <v>719</v>
      </c>
      <c r="O7" s="2484"/>
      <c r="P7" s="2485"/>
      <c r="Q7" s="254"/>
      <c r="R7" s="254"/>
    </row>
    <row r="8" spans="1:18" ht="16.5" customHeight="1" thickBot="1">
      <c r="A8" s="305"/>
      <c r="B8" s="204"/>
      <c r="C8" s="205"/>
      <c r="D8" s="206"/>
      <c r="E8" s="206"/>
      <c r="F8" s="206"/>
      <c r="G8" s="206"/>
      <c r="H8" s="206"/>
      <c r="I8" s="206"/>
      <c r="J8" s="206"/>
      <c r="K8" s="215"/>
      <c r="L8" s="254"/>
      <c r="M8" s="254"/>
      <c r="N8" s="2486"/>
      <c r="O8" s="2487"/>
      <c r="P8" s="2488"/>
      <c r="Q8" s="254"/>
      <c r="R8" s="254"/>
    </row>
    <row r="9" spans="1:18" ht="17">
      <c r="A9" s="305"/>
      <c r="B9" s="201"/>
      <c r="C9" s="2507" t="s">
        <v>32</v>
      </c>
      <c r="D9" s="2508"/>
      <c r="E9" s="1052">
        <v>25</v>
      </c>
      <c r="F9" s="203" t="s">
        <v>33</v>
      </c>
      <c r="G9" s="1050"/>
      <c r="H9" s="265" t="s">
        <v>389</v>
      </c>
      <c r="I9" s="1053">
        <f>'Step 3. FA Balance'!$J$41</f>
        <v>0</v>
      </c>
      <c r="J9" s="203" t="s">
        <v>34</v>
      </c>
      <c r="K9" s="217"/>
      <c r="L9" s="254"/>
      <c r="M9" s="254"/>
      <c r="N9" s="2489"/>
      <c r="O9" s="2490"/>
      <c r="P9" s="2491"/>
      <c r="Q9" s="254"/>
      <c r="R9" s="254"/>
    </row>
    <row r="10" spans="1:18" ht="17">
      <c r="A10" s="305"/>
      <c r="B10" s="201"/>
      <c r="C10" s="2509" t="s">
        <v>50</v>
      </c>
      <c r="D10" s="2510"/>
      <c r="E10" s="1054">
        <v>40</v>
      </c>
      <c r="F10" s="203" t="s">
        <v>33</v>
      </c>
      <c r="G10" s="1050"/>
      <c r="H10" s="265" t="s">
        <v>387</v>
      </c>
      <c r="I10" s="1055">
        <f>'Step 3. FA Balance'!$I$41</f>
        <v>0</v>
      </c>
      <c r="J10" s="44" t="s">
        <v>196</v>
      </c>
      <c r="K10" s="217"/>
      <c r="L10" s="254"/>
      <c r="M10" s="254"/>
      <c r="N10" s="962"/>
      <c r="O10" s="962"/>
      <c r="P10" s="962"/>
      <c r="Q10" s="254"/>
      <c r="R10" s="254"/>
    </row>
    <row r="11" spans="1:18" ht="21" customHeight="1">
      <c r="A11" s="305"/>
      <c r="B11" s="201"/>
      <c r="C11" s="2509" t="s">
        <v>388</v>
      </c>
      <c r="D11" s="2510"/>
      <c r="E11" s="1056" t="e">
        <f>Calculations!$B$129</f>
        <v>#DIV/0!</v>
      </c>
      <c r="F11" s="203" t="s">
        <v>52</v>
      </c>
      <c r="G11" s="1050"/>
      <c r="H11" s="265" t="s">
        <v>386</v>
      </c>
      <c r="I11" s="1054">
        <v>1</v>
      </c>
      <c r="J11" s="44"/>
      <c r="K11" s="217"/>
      <c r="L11" s="254"/>
      <c r="M11" s="254"/>
      <c r="N11" s="962"/>
      <c r="O11" s="962"/>
      <c r="P11" s="962"/>
      <c r="Q11" s="254"/>
      <c r="R11" s="254"/>
    </row>
    <row r="12" spans="1:18" ht="17">
      <c r="A12" s="305"/>
      <c r="B12" s="201"/>
      <c r="C12" s="203"/>
      <c r="D12" s="1057"/>
      <c r="E12" s="82"/>
      <c r="F12" s="203"/>
      <c r="G12" s="1050"/>
      <c r="H12" s="265" t="s">
        <v>385</v>
      </c>
      <c r="I12" s="1058">
        <f>'Step 3. FA Balance'!$K$41</f>
        <v>0</v>
      </c>
      <c r="J12" s="203" t="s">
        <v>52</v>
      </c>
      <c r="K12" s="217"/>
      <c r="L12" s="254"/>
      <c r="M12" s="254"/>
      <c r="N12" s="962"/>
      <c r="O12" s="962"/>
      <c r="P12" s="962"/>
      <c r="Q12" s="254"/>
      <c r="R12" s="254"/>
    </row>
    <row r="13" spans="1:18" ht="17" thickBot="1">
      <c r="A13" s="305"/>
      <c r="B13" s="201"/>
      <c r="C13" s="203"/>
      <c r="D13" s="207"/>
      <c r="E13" s="198"/>
      <c r="F13" s="203"/>
      <c r="G13" s="202"/>
      <c r="H13" s="203"/>
      <c r="I13" s="216"/>
      <c r="J13" s="203"/>
      <c r="K13" s="217"/>
      <c r="L13" s="254"/>
      <c r="M13" s="254"/>
      <c r="N13" s="962"/>
      <c r="O13" s="962"/>
      <c r="P13" s="962"/>
      <c r="Q13" s="254"/>
      <c r="R13" s="254"/>
    </row>
    <row r="14" spans="1:18" ht="16">
      <c r="A14" s="305"/>
      <c r="B14" s="185" t="s">
        <v>56</v>
      </c>
      <c r="C14" s="185" t="s">
        <v>1273</v>
      </c>
      <c r="D14" s="185" t="s">
        <v>57</v>
      </c>
      <c r="E14" s="185" t="s">
        <v>137</v>
      </c>
      <c r="F14" s="185" t="s">
        <v>137</v>
      </c>
      <c r="G14" s="218"/>
      <c r="H14" s="185" t="s">
        <v>58</v>
      </c>
      <c r="I14" s="185" t="s">
        <v>59</v>
      </c>
      <c r="J14" s="185" t="s">
        <v>60</v>
      </c>
      <c r="K14" s="964" t="s">
        <v>61</v>
      </c>
      <c r="L14" s="254"/>
      <c r="M14" s="254"/>
      <c r="N14" s="962"/>
      <c r="O14" s="962"/>
      <c r="P14" s="962"/>
      <c r="Q14" s="254"/>
      <c r="R14" s="254"/>
    </row>
    <row r="15" spans="1:18" ht="16">
      <c r="A15" s="305"/>
      <c r="B15" s="186" t="s">
        <v>62</v>
      </c>
      <c r="C15" s="219"/>
      <c r="D15" s="186" t="s">
        <v>63</v>
      </c>
      <c r="E15" s="186" t="s">
        <v>64</v>
      </c>
      <c r="F15" s="186" t="s">
        <v>64</v>
      </c>
      <c r="G15" s="186" t="s">
        <v>65</v>
      </c>
      <c r="H15" s="186" t="s">
        <v>66</v>
      </c>
      <c r="I15" s="186" t="s">
        <v>66</v>
      </c>
      <c r="J15" s="186" t="s">
        <v>392</v>
      </c>
      <c r="K15" s="965" t="s">
        <v>728</v>
      </c>
      <c r="L15" s="254"/>
      <c r="M15" s="254"/>
      <c r="N15" s="254"/>
      <c r="O15" s="254"/>
      <c r="P15" s="254"/>
      <c r="Q15" s="254"/>
      <c r="R15" s="254"/>
    </row>
    <row r="16" spans="1:18" ht="16">
      <c r="A16" s="305"/>
      <c r="B16" s="219"/>
      <c r="C16" s="219"/>
      <c r="D16" s="219"/>
      <c r="E16" s="186" t="s">
        <v>390</v>
      </c>
      <c r="F16" s="186" t="s">
        <v>391</v>
      </c>
      <c r="G16" s="186" t="s">
        <v>68</v>
      </c>
      <c r="H16" s="186" t="s">
        <v>69</v>
      </c>
      <c r="I16" s="186" t="s">
        <v>69</v>
      </c>
      <c r="J16" s="186" t="s">
        <v>70</v>
      </c>
      <c r="K16" s="965" t="s">
        <v>71</v>
      </c>
      <c r="L16" s="254"/>
      <c r="M16" s="254"/>
      <c r="N16" s="254"/>
      <c r="O16" s="254"/>
      <c r="P16" s="254"/>
      <c r="Q16" s="254"/>
      <c r="R16" s="254"/>
    </row>
    <row r="17" spans="1:18" ht="18" thickBot="1">
      <c r="A17" s="305"/>
      <c r="B17" s="220"/>
      <c r="C17" s="220"/>
      <c r="D17" s="220"/>
      <c r="E17" s="220"/>
      <c r="F17" s="187" t="s">
        <v>72</v>
      </c>
      <c r="G17" s="221"/>
      <c r="H17" s="187" t="s">
        <v>73</v>
      </c>
      <c r="I17" s="187" t="s">
        <v>73</v>
      </c>
      <c r="J17" s="221"/>
      <c r="K17" s="966" t="s">
        <v>74</v>
      </c>
      <c r="L17" s="254"/>
      <c r="M17" s="254"/>
      <c r="N17" s="254"/>
      <c r="O17" s="254"/>
      <c r="P17" s="254"/>
      <c r="Q17" s="254"/>
      <c r="R17" s="254"/>
    </row>
    <row r="18" spans="1:18" ht="16">
      <c r="A18" s="305"/>
      <c r="B18" s="936">
        <f>Field1</f>
        <v>1</v>
      </c>
      <c r="C18" s="1039">
        <f>Kind1</f>
        <v>0</v>
      </c>
      <c r="D18" s="1040">
        <f>Acres1</f>
        <v>0</v>
      </c>
      <c r="E18" s="1041" t="e">
        <f>IF(C18="","",('Step 3. FA Balance'!$J103*'Step 3. FA Balance'!$L103/100))</f>
        <v>#VALUE!</v>
      </c>
      <c r="F18" s="1037" t="e">
        <f t="shared" ref="F18:F41" si="0">IF(C18="","",D18*E18)</f>
        <v>#VALUE!</v>
      </c>
      <c r="G18" s="222" t="e">
        <f>IF(C18="","",F18/$F$43)</f>
        <v>#VALUE!</v>
      </c>
      <c r="H18" s="897" t="e">
        <f>IF(C18="","",G18*($E$9/($C$44-$I$11)))</f>
        <v>#VALUE!</v>
      </c>
      <c r="I18" s="897" t="e">
        <f>IF(C18="","",G18*($E$10/($C$44-$I$11)))</f>
        <v>#VALUE!</v>
      </c>
      <c r="J18" s="223">
        <f>IF(D18,($I$9*$I$10)/D18,0)</f>
        <v>0</v>
      </c>
      <c r="K18" s="224" t="e">
        <f>IF(C18="","",VLOOKUP(C18,ForageGrowthCurves!$A$6:'ForageGrowthCurves'!$O$18,15,FALSE))</f>
        <v>#N/A</v>
      </c>
      <c r="L18" s="254"/>
      <c r="M18" s="254"/>
      <c r="N18" s="254"/>
      <c r="O18" s="254"/>
      <c r="P18" s="254"/>
      <c r="Q18" s="254"/>
      <c r="R18" s="254"/>
    </row>
    <row r="19" spans="1:18" ht="16">
      <c r="A19" s="305"/>
      <c r="B19" s="225">
        <f>Field2</f>
        <v>2</v>
      </c>
      <c r="C19" s="1039">
        <f>Kind2</f>
        <v>0</v>
      </c>
      <c r="D19" s="1042">
        <f>Acres2</f>
        <v>0</v>
      </c>
      <c r="E19" s="1041" t="e">
        <f>IF(C19="","",('Step 3. FA Balance'!$J105*'Step 3. FA Balance'!$L105/100))</f>
        <v>#VALUE!</v>
      </c>
      <c r="F19" s="1037" t="e">
        <f t="shared" si="0"/>
        <v>#VALUE!</v>
      </c>
      <c r="G19" s="222" t="e">
        <f t="shared" ref="G19:G41" si="1">IF(C19="","",F19/$F$43)</f>
        <v>#VALUE!</v>
      </c>
      <c r="H19" s="897" t="e">
        <f t="shared" ref="H19:H41" si="2">IF(C19="","",G19*($E$9/($C$44-$I$11)))</f>
        <v>#VALUE!</v>
      </c>
      <c r="I19" s="897" t="e">
        <f t="shared" ref="I19:I41" si="3">IF(C19="","",G19*($E$10/($C$44-$I$11)))</f>
        <v>#VALUE!</v>
      </c>
      <c r="J19" s="223">
        <f t="shared" ref="J19:J41" si="4">IF(D19,($I$9*$I$10)/D19,0)</f>
        <v>0</v>
      </c>
      <c r="K19" s="224" t="e">
        <f>IF(C19="","",VLOOKUP(C19,ForageGrowthCurves!A$6:'ForageGrowthCurves'!$O$18,15,FALSE))</f>
        <v>#N/A</v>
      </c>
      <c r="L19" s="254"/>
      <c r="M19" s="254"/>
      <c r="N19" s="254"/>
      <c r="O19" s="254"/>
      <c r="P19" s="254"/>
      <c r="Q19" s="254"/>
      <c r="R19" s="254"/>
    </row>
    <row r="20" spans="1:18" ht="16">
      <c r="A20" s="305"/>
      <c r="B20" s="225">
        <f>Field3</f>
        <v>3</v>
      </c>
      <c r="C20" s="1043">
        <f>Kind3</f>
        <v>0</v>
      </c>
      <c r="D20" s="1042">
        <f>Acres3</f>
        <v>0</v>
      </c>
      <c r="E20" s="1041" t="e">
        <f>IF(C20="","",('Step 3. FA Balance'!$J107*'Step 3. FA Balance'!$L107/100))</f>
        <v>#VALUE!</v>
      </c>
      <c r="F20" s="1037" t="e">
        <f t="shared" si="0"/>
        <v>#VALUE!</v>
      </c>
      <c r="G20" s="222" t="e">
        <f t="shared" si="1"/>
        <v>#VALUE!</v>
      </c>
      <c r="H20" s="897" t="e">
        <f>IF(C20="","",G20*($E$9/($C$44-$I$11)))</f>
        <v>#VALUE!</v>
      </c>
      <c r="I20" s="897" t="e">
        <f t="shared" si="3"/>
        <v>#VALUE!</v>
      </c>
      <c r="J20" s="223">
        <f t="shared" si="4"/>
        <v>0</v>
      </c>
      <c r="K20" s="224" t="e">
        <f>IF(C20="","",VLOOKUP(C20,ForageGrowthCurves!A$6:'ForageGrowthCurves'!$O$18,15,FALSE))</f>
        <v>#N/A</v>
      </c>
      <c r="L20" s="254"/>
      <c r="M20" s="254"/>
      <c r="N20" s="254"/>
      <c r="O20" s="254"/>
      <c r="P20" s="254"/>
      <c r="Q20" s="254"/>
      <c r="R20" s="254"/>
    </row>
    <row r="21" spans="1:18" ht="16">
      <c r="A21" s="305"/>
      <c r="B21" s="225">
        <f>Field4</f>
        <v>4</v>
      </c>
      <c r="C21" s="1043">
        <f>Kind4</f>
        <v>0</v>
      </c>
      <c r="D21" s="1042">
        <f>Acres4</f>
        <v>0</v>
      </c>
      <c r="E21" s="1041" t="e">
        <f>IF(C21="","",('Step 3. FA Balance'!$J109*'Step 3. FA Balance'!$L109/100))</f>
        <v>#VALUE!</v>
      </c>
      <c r="F21" s="1037" t="e">
        <f>IF(C21="","",D21*E21)</f>
        <v>#VALUE!</v>
      </c>
      <c r="G21" s="222" t="e">
        <f t="shared" si="1"/>
        <v>#VALUE!</v>
      </c>
      <c r="H21" s="897" t="e">
        <f t="shared" si="2"/>
        <v>#VALUE!</v>
      </c>
      <c r="I21" s="897" t="e">
        <f t="shared" si="3"/>
        <v>#VALUE!</v>
      </c>
      <c r="J21" s="223">
        <f t="shared" si="4"/>
        <v>0</v>
      </c>
      <c r="K21" s="224" t="e">
        <f>IF(C21="","",VLOOKUP(C21,ForageGrowthCurves!A$6:'ForageGrowthCurves'!$O$18,15,FALSE))</f>
        <v>#N/A</v>
      </c>
      <c r="L21" s="254"/>
      <c r="M21" s="254"/>
      <c r="N21" s="254"/>
      <c r="O21" s="254"/>
      <c r="P21" s="254"/>
      <c r="Q21" s="254"/>
      <c r="R21" s="254"/>
    </row>
    <row r="22" spans="1:18" ht="16">
      <c r="A22" s="305"/>
      <c r="B22" s="225">
        <f>Field5</f>
        <v>5</v>
      </c>
      <c r="C22" s="1043">
        <f>Kind5</f>
        <v>0</v>
      </c>
      <c r="D22" s="1042">
        <f>Acres5</f>
        <v>0</v>
      </c>
      <c r="E22" s="1041" t="e">
        <f>IF(C22="","",('Step 3. FA Balance'!$J111*'Step 3. FA Balance'!$L111/100))</f>
        <v>#VALUE!</v>
      </c>
      <c r="F22" s="1037" t="e">
        <f>IF(C22="","",D22*E22)</f>
        <v>#VALUE!</v>
      </c>
      <c r="G22" s="222" t="e">
        <f t="shared" si="1"/>
        <v>#VALUE!</v>
      </c>
      <c r="H22" s="897" t="e">
        <f t="shared" si="2"/>
        <v>#VALUE!</v>
      </c>
      <c r="I22" s="897" t="e">
        <f t="shared" si="3"/>
        <v>#VALUE!</v>
      </c>
      <c r="J22" s="223">
        <f t="shared" si="4"/>
        <v>0</v>
      </c>
      <c r="K22" s="224" t="e">
        <f>IF(C22="","",VLOOKUP(C22,ForageGrowthCurves!A$6:'ForageGrowthCurves'!$O$18,15,FALSE))</f>
        <v>#N/A</v>
      </c>
      <c r="L22" s="254"/>
      <c r="M22" s="254"/>
      <c r="N22" s="254"/>
      <c r="O22" s="254"/>
      <c r="P22" s="254"/>
      <c r="Q22" s="254"/>
      <c r="R22" s="254"/>
    </row>
    <row r="23" spans="1:18" ht="16">
      <c r="A23" s="305"/>
      <c r="B23" s="225">
        <f>Field6</f>
        <v>6</v>
      </c>
      <c r="C23" s="1044">
        <f>Kind6</f>
        <v>0</v>
      </c>
      <c r="D23" s="1042">
        <f>Acres6</f>
        <v>0</v>
      </c>
      <c r="E23" s="1041" t="e">
        <f>IF(C23="","",('Step 3. FA Balance'!$J113*'Step 3. FA Balance'!$L113/100))</f>
        <v>#VALUE!</v>
      </c>
      <c r="F23" s="1037" t="e">
        <f t="shared" si="0"/>
        <v>#VALUE!</v>
      </c>
      <c r="G23" s="222" t="e">
        <f t="shared" si="1"/>
        <v>#VALUE!</v>
      </c>
      <c r="H23" s="897" t="e">
        <f t="shared" si="2"/>
        <v>#VALUE!</v>
      </c>
      <c r="I23" s="897" t="e">
        <f t="shared" si="3"/>
        <v>#VALUE!</v>
      </c>
      <c r="J23" s="223">
        <f t="shared" si="4"/>
        <v>0</v>
      </c>
      <c r="K23" s="224" t="e">
        <f>IF(C23="","",VLOOKUP(C23,ForageGrowthCurves!A$6:'ForageGrowthCurves'!$O$18,15,FALSE))</f>
        <v>#N/A</v>
      </c>
      <c r="L23" s="254"/>
      <c r="M23" s="254"/>
      <c r="N23" s="254"/>
      <c r="O23" s="254"/>
      <c r="P23" s="254"/>
      <c r="Q23" s="254"/>
      <c r="R23" s="254"/>
    </row>
    <row r="24" spans="1:18" ht="16">
      <c r="A24" s="305"/>
      <c r="B24" s="225">
        <f>Field7</f>
        <v>7</v>
      </c>
      <c r="C24" s="1044">
        <f>Kind7</f>
        <v>0</v>
      </c>
      <c r="D24" s="1042">
        <f>Acres7</f>
        <v>0</v>
      </c>
      <c r="E24" s="1041" t="e">
        <f>IF(C24="","",('Step 3. FA Balance'!$J115*'Step 3. FA Balance'!$L115/100))</f>
        <v>#VALUE!</v>
      </c>
      <c r="F24" s="1037" t="e">
        <f t="shared" si="0"/>
        <v>#VALUE!</v>
      </c>
      <c r="G24" s="222" t="e">
        <f t="shared" si="1"/>
        <v>#VALUE!</v>
      </c>
      <c r="H24" s="897" t="e">
        <f t="shared" si="2"/>
        <v>#VALUE!</v>
      </c>
      <c r="I24" s="897" t="e">
        <f t="shared" si="3"/>
        <v>#VALUE!</v>
      </c>
      <c r="J24" s="223">
        <f t="shared" si="4"/>
        <v>0</v>
      </c>
      <c r="K24" s="224" t="e">
        <f>IF(C24="","",VLOOKUP(C24,ForageGrowthCurves!A$6:'ForageGrowthCurves'!$O$18,15,FALSE))</f>
        <v>#N/A</v>
      </c>
      <c r="L24" s="254"/>
      <c r="M24" s="254"/>
      <c r="N24" s="254"/>
      <c r="O24" s="254"/>
      <c r="P24" s="254"/>
      <c r="Q24" s="254"/>
      <c r="R24" s="254"/>
    </row>
    <row r="25" spans="1:18" ht="16">
      <c r="A25" s="305"/>
      <c r="B25" s="225">
        <f>Field8</f>
        <v>8</v>
      </c>
      <c r="C25" s="1044">
        <f>Kind8</f>
        <v>0</v>
      </c>
      <c r="D25" s="1042">
        <f>Acres8</f>
        <v>0</v>
      </c>
      <c r="E25" s="1041" t="e">
        <f>IF(C25="","",('Step 3. FA Balance'!$J117*'Step 3. FA Balance'!$L117/100))</f>
        <v>#VALUE!</v>
      </c>
      <c r="F25" s="1037" t="e">
        <f t="shared" si="0"/>
        <v>#VALUE!</v>
      </c>
      <c r="G25" s="222" t="e">
        <f t="shared" si="1"/>
        <v>#VALUE!</v>
      </c>
      <c r="H25" s="897" t="e">
        <f t="shared" si="2"/>
        <v>#VALUE!</v>
      </c>
      <c r="I25" s="897" t="e">
        <f t="shared" si="3"/>
        <v>#VALUE!</v>
      </c>
      <c r="J25" s="223">
        <f t="shared" si="4"/>
        <v>0</v>
      </c>
      <c r="K25" s="224" t="e">
        <f>IF(C25="","",VLOOKUP(C25,ForageGrowthCurves!A$6:'ForageGrowthCurves'!$O$18,15,FALSE))</f>
        <v>#N/A</v>
      </c>
      <c r="L25" s="254"/>
      <c r="M25" s="254"/>
      <c r="N25" s="254"/>
      <c r="O25" s="254"/>
      <c r="P25" s="254"/>
      <c r="Q25" s="254"/>
      <c r="R25" s="254"/>
    </row>
    <row r="26" spans="1:18" ht="16">
      <c r="A26" s="305"/>
      <c r="B26" s="225">
        <f>Field9</f>
        <v>9</v>
      </c>
      <c r="C26" s="1044">
        <f>Kind9</f>
        <v>0</v>
      </c>
      <c r="D26" s="1042">
        <f>Acres9</f>
        <v>0</v>
      </c>
      <c r="E26" s="1041" t="e">
        <f>IF(C26="","",('Step 3. FA Balance'!$J119*'Step 3. FA Balance'!$L119/100))</f>
        <v>#VALUE!</v>
      </c>
      <c r="F26" s="1037" t="e">
        <f t="shared" si="0"/>
        <v>#VALUE!</v>
      </c>
      <c r="G26" s="222" t="e">
        <f t="shared" si="1"/>
        <v>#VALUE!</v>
      </c>
      <c r="H26" s="897" t="e">
        <f t="shared" si="2"/>
        <v>#VALUE!</v>
      </c>
      <c r="I26" s="897" t="e">
        <f t="shared" si="3"/>
        <v>#VALUE!</v>
      </c>
      <c r="J26" s="223">
        <f t="shared" si="4"/>
        <v>0</v>
      </c>
      <c r="K26" s="224" t="e">
        <f>IF(C26="","",VLOOKUP(C26,ForageGrowthCurves!A$6:'ForageGrowthCurves'!$O$18,15,FALSE))</f>
        <v>#N/A</v>
      </c>
      <c r="L26" s="254"/>
      <c r="M26" s="254"/>
      <c r="N26" s="254"/>
      <c r="O26" s="254"/>
      <c r="P26" s="254"/>
      <c r="Q26" s="254"/>
      <c r="R26" s="254"/>
    </row>
    <row r="27" spans="1:18" ht="16">
      <c r="A27" s="305"/>
      <c r="B27" s="225">
        <f>Field10</f>
        <v>10</v>
      </c>
      <c r="C27" s="1044">
        <f>Kind10</f>
        <v>0</v>
      </c>
      <c r="D27" s="1042">
        <f>Acres10</f>
        <v>0</v>
      </c>
      <c r="E27" s="1041" t="e">
        <f>IF(C27="","",('Step 3. FA Balance'!$J121*'Step 3. FA Balance'!$L121/100))</f>
        <v>#VALUE!</v>
      </c>
      <c r="F27" s="1037" t="e">
        <f t="shared" si="0"/>
        <v>#VALUE!</v>
      </c>
      <c r="G27" s="222" t="e">
        <f t="shared" si="1"/>
        <v>#VALUE!</v>
      </c>
      <c r="H27" s="897" t="e">
        <f t="shared" si="2"/>
        <v>#VALUE!</v>
      </c>
      <c r="I27" s="897" t="e">
        <f t="shared" si="3"/>
        <v>#VALUE!</v>
      </c>
      <c r="J27" s="223">
        <f t="shared" si="4"/>
        <v>0</v>
      </c>
      <c r="K27" s="224" t="e">
        <f>IF(C27="","",VLOOKUP(C27,ForageGrowthCurves!A$6:'ForageGrowthCurves'!$O$18,15,FALSE))</f>
        <v>#N/A</v>
      </c>
      <c r="L27" s="254"/>
      <c r="M27" s="254"/>
      <c r="N27" s="254"/>
      <c r="O27" s="254"/>
      <c r="P27" s="254"/>
      <c r="Q27" s="254"/>
      <c r="R27" s="254"/>
    </row>
    <row r="28" spans="1:18" ht="17.25" customHeight="1">
      <c r="A28" s="305"/>
      <c r="B28" s="225">
        <f>Field11</f>
        <v>11</v>
      </c>
      <c r="C28" s="1044">
        <f>Kind11</f>
        <v>0</v>
      </c>
      <c r="D28" s="1042">
        <f>Acres11</f>
        <v>0</v>
      </c>
      <c r="E28" s="1041" t="e">
        <f>IF(C28="","",('Step 3. FA Balance'!$J123*'Step 3. FA Balance'!$L123/100))</f>
        <v>#VALUE!</v>
      </c>
      <c r="F28" s="1037" t="e">
        <f t="shared" si="0"/>
        <v>#VALUE!</v>
      </c>
      <c r="G28" s="222" t="e">
        <f t="shared" si="1"/>
        <v>#VALUE!</v>
      </c>
      <c r="H28" s="897" t="e">
        <f t="shared" si="2"/>
        <v>#VALUE!</v>
      </c>
      <c r="I28" s="897" t="e">
        <f t="shared" si="3"/>
        <v>#VALUE!</v>
      </c>
      <c r="J28" s="223">
        <f t="shared" si="4"/>
        <v>0</v>
      </c>
      <c r="K28" s="224" t="e">
        <f>IF(C28="","",VLOOKUP(C28,ForageGrowthCurves!A$6:'ForageGrowthCurves'!$O$18,15,FALSE))</f>
        <v>#N/A</v>
      </c>
      <c r="L28" s="254"/>
      <c r="M28" s="254"/>
      <c r="N28" s="254"/>
      <c r="O28" s="254"/>
      <c r="P28" s="254"/>
      <c r="Q28" s="254"/>
      <c r="R28" s="254"/>
    </row>
    <row r="29" spans="1:18" ht="16">
      <c r="A29" s="305"/>
      <c r="B29" s="225">
        <f>Field12</f>
        <v>12</v>
      </c>
      <c r="C29" s="1044">
        <f>Kind12</f>
        <v>0</v>
      </c>
      <c r="D29" s="1042">
        <f>Acres12</f>
        <v>0</v>
      </c>
      <c r="E29" s="1041" t="e">
        <f>IF(C29="","",('Step 3. FA Balance'!$J125*'Step 3. FA Balance'!$L125/100))</f>
        <v>#VALUE!</v>
      </c>
      <c r="F29" s="1037" t="e">
        <f t="shared" si="0"/>
        <v>#VALUE!</v>
      </c>
      <c r="G29" s="222" t="e">
        <f t="shared" si="1"/>
        <v>#VALUE!</v>
      </c>
      <c r="H29" s="897" t="e">
        <f t="shared" si="2"/>
        <v>#VALUE!</v>
      </c>
      <c r="I29" s="897" t="e">
        <f t="shared" si="3"/>
        <v>#VALUE!</v>
      </c>
      <c r="J29" s="223">
        <f t="shared" si="4"/>
        <v>0</v>
      </c>
      <c r="K29" s="224" t="e">
        <f>IF(C29="","",VLOOKUP(C29,ForageGrowthCurves!A$6:'ForageGrowthCurves'!$O$18,15,FALSE))</f>
        <v>#N/A</v>
      </c>
      <c r="L29" s="254"/>
      <c r="M29" s="254"/>
      <c r="N29" s="254"/>
      <c r="O29" s="254"/>
      <c r="P29" s="254"/>
      <c r="Q29" s="254"/>
      <c r="R29" s="254"/>
    </row>
    <row r="30" spans="1:18" ht="16">
      <c r="A30" s="305"/>
      <c r="B30" s="225">
        <f>Field13</f>
        <v>13</v>
      </c>
      <c r="C30" s="1044">
        <f>Kind13</f>
        <v>0</v>
      </c>
      <c r="D30" s="1042">
        <f>Acres13</f>
        <v>0</v>
      </c>
      <c r="E30" s="1041" t="e">
        <f>IF(C30="","",('Step 3. FA Balance'!$J127*'Step 3. FA Balance'!$L127/100))</f>
        <v>#VALUE!</v>
      </c>
      <c r="F30" s="1037" t="e">
        <f t="shared" si="0"/>
        <v>#VALUE!</v>
      </c>
      <c r="G30" s="222" t="e">
        <f t="shared" si="1"/>
        <v>#VALUE!</v>
      </c>
      <c r="H30" s="897" t="e">
        <f t="shared" si="2"/>
        <v>#VALUE!</v>
      </c>
      <c r="I30" s="897" t="e">
        <f t="shared" si="3"/>
        <v>#VALUE!</v>
      </c>
      <c r="J30" s="223">
        <f t="shared" si="4"/>
        <v>0</v>
      </c>
      <c r="K30" s="224" t="e">
        <f>IF(C30="","",VLOOKUP(C30,ForageGrowthCurves!A$6:'ForageGrowthCurves'!$O$18,15,FALSE))</f>
        <v>#N/A</v>
      </c>
      <c r="L30" s="254"/>
      <c r="M30" s="254"/>
      <c r="N30" s="254"/>
      <c r="O30" s="254"/>
      <c r="P30" s="254"/>
      <c r="Q30" s="254"/>
      <c r="R30" s="254"/>
    </row>
    <row r="31" spans="1:18" ht="16">
      <c r="A31" s="305"/>
      <c r="B31" s="225">
        <f>Field14</f>
        <v>14</v>
      </c>
      <c r="C31" s="1044">
        <f>Kind14</f>
        <v>0</v>
      </c>
      <c r="D31" s="1042">
        <f>Acres14</f>
        <v>0</v>
      </c>
      <c r="E31" s="1041" t="e">
        <f>IF(C31="","",('Step 3. FA Balance'!$J129*'Step 3. FA Balance'!$L129/100))</f>
        <v>#VALUE!</v>
      </c>
      <c r="F31" s="1037" t="e">
        <f t="shared" si="0"/>
        <v>#VALUE!</v>
      </c>
      <c r="G31" s="222" t="e">
        <f t="shared" si="1"/>
        <v>#VALUE!</v>
      </c>
      <c r="H31" s="897" t="e">
        <f t="shared" si="2"/>
        <v>#VALUE!</v>
      </c>
      <c r="I31" s="897" t="e">
        <f t="shared" si="3"/>
        <v>#VALUE!</v>
      </c>
      <c r="J31" s="223">
        <f t="shared" si="4"/>
        <v>0</v>
      </c>
      <c r="K31" s="224" t="e">
        <f>IF(C31="","",VLOOKUP(C31,ForageGrowthCurves!A$6:'ForageGrowthCurves'!$O$18,15,FALSE))</f>
        <v>#N/A</v>
      </c>
      <c r="L31" s="254"/>
      <c r="M31" s="254"/>
      <c r="N31" s="254"/>
      <c r="O31" s="254"/>
      <c r="P31" s="254"/>
      <c r="Q31" s="254"/>
      <c r="R31" s="254"/>
    </row>
    <row r="32" spans="1:18" ht="16">
      <c r="A32" s="305"/>
      <c r="B32" s="225">
        <f>Field15</f>
        <v>15</v>
      </c>
      <c r="C32" s="1044">
        <f>Kind15</f>
        <v>0</v>
      </c>
      <c r="D32" s="1042">
        <f>Acres15</f>
        <v>0</v>
      </c>
      <c r="E32" s="1045" t="e">
        <f>IF(C32="","",('Step 3. FA Balance'!$J131*'Step 3. FA Balance'!$L131/100))</f>
        <v>#VALUE!</v>
      </c>
      <c r="F32" s="1037" t="e">
        <f t="shared" si="0"/>
        <v>#VALUE!</v>
      </c>
      <c r="G32" s="222" t="e">
        <f t="shared" si="1"/>
        <v>#VALUE!</v>
      </c>
      <c r="H32" s="898" t="e">
        <f t="shared" si="2"/>
        <v>#VALUE!</v>
      </c>
      <c r="I32" s="897" t="e">
        <f t="shared" si="3"/>
        <v>#VALUE!</v>
      </c>
      <c r="J32" s="223">
        <f t="shared" si="4"/>
        <v>0</v>
      </c>
      <c r="K32" s="224" t="e">
        <f>IF(C32="","",VLOOKUP(C32,ForageGrowthCurves!A$6:'ForageGrowthCurves'!$O$18,15,FALSE))</f>
        <v>#N/A</v>
      </c>
      <c r="L32" s="254"/>
      <c r="M32" s="254"/>
      <c r="N32" s="254"/>
      <c r="O32" s="254"/>
      <c r="P32" s="254"/>
      <c r="Q32" s="254"/>
      <c r="R32" s="254"/>
    </row>
    <row r="33" spans="1:18" ht="16">
      <c r="A33" s="305"/>
      <c r="B33" s="225">
        <f>Field16</f>
        <v>16</v>
      </c>
      <c r="C33" s="1044">
        <f>Kind16</f>
        <v>0</v>
      </c>
      <c r="D33" s="1042">
        <f>Acres16</f>
        <v>0</v>
      </c>
      <c r="E33" s="1045" t="e">
        <f>IF(C33="","",('Step 3. FA Balance'!$J133*'Step 3. FA Balance'!$L133/100))</f>
        <v>#VALUE!</v>
      </c>
      <c r="F33" s="1037" t="e">
        <f t="shared" si="0"/>
        <v>#VALUE!</v>
      </c>
      <c r="G33" s="222" t="e">
        <f t="shared" si="1"/>
        <v>#VALUE!</v>
      </c>
      <c r="H33" s="898" t="e">
        <f t="shared" si="2"/>
        <v>#VALUE!</v>
      </c>
      <c r="I33" s="897" t="e">
        <f t="shared" si="3"/>
        <v>#VALUE!</v>
      </c>
      <c r="J33" s="223">
        <f t="shared" si="4"/>
        <v>0</v>
      </c>
      <c r="K33" s="224" t="e">
        <f>IF(C33="","",VLOOKUP(C33,ForageGrowthCurves!A$6:'ForageGrowthCurves'!$O$18,15,FALSE))</f>
        <v>#N/A</v>
      </c>
      <c r="L33" s="254"/>
      <c r="M33" s="254"/>
      <c r="N33" s="254"/>
      <c r="O33" s="254"/>
      <c r="P33" s="254"/>
      <c r="Q33" s="254"/>
      <c r="R33" s="254"/>
    </row>
    <row r="34" spans="1:18" ht="16">
      <c r="A34" s="305"/>
      <c r="B34" s="225">
        <f>Field17</f>
        <v>17</v>
      </c>
      <c r="C34" s="1044">
        <f>Kind17</f>
        <v>0</v>
      </c>
      <c r="D34" s="1042">
        <f>Acres17</f>
        <v>0</v>
      </c>
      <c r="E34" s="1045" t="e">
        <f>IF(C34="","",('Step 3. FA Balance'!$J135*'Step 3. FA Balance'!$L135/100))</f>
        <v>#VALUE!</v>
      </c>
      <c r="F34" s="1037" t="e">
        <f t="shared" si="0"/>
        <v>#VALUE!</v>
      </c>
      <c r="G34" s="222" t="e">
        <f t="shared" si="1"/>
        <v>#VALUE!</v>
      </c>
      <c r="H34" s="898" t="e">
        <f t="shared" si="2"/>
        <v>#VALUE!</v>
      </c>
      <c r="I34" s="897" t="e">
        <f t="shared" si="3"/>
        <v>#VALUE!</v>
      </c>
      <c r="J34" s="223">
        <f t="shared" si="4"/>
        <v>0</v>
      </c>
      <c r="K34" s="224" t="e">
        <f>IF(C34="","",VLOOKUP(C34,ForageGrowthCurves!A$6:'ForageGrowthCurves'!$O$18,15,FALSE))</f>
        <v>#N/A</v>
      </c>
      <c r="L34" s="254"/>
      <c r="M34" s="254"/>
      <c r="N34" s="254"/>
      <c r="O34" s="254"/>
      <c r="P34" s="254"/>
      <c r="Q34" s="254"/>
      <c r="R34" s="254"/>
    </row>
    <row r="35" spans="1:18" ht="16">
      <c r="A35" s="305"/>
      <c r="B35" s="225">
        <f>Field18</f>
        <v>18</v>
      </c>
      <c r="C35" s="1044">
        <f>Kind18</f>
        <v>0</v>
      </c>
      <c r="D35" s="1042">
        <f>Acres18</f>
        <v>0</v>
      </c>
      <c r="E35" s="1045" t="e">
        <f>IF(C35="","",('Step 3. FA Balance'!$J137*'Step 3. FA Balance'!$L137/100))</f>
        <v>#VALUE!</v>
      </c>
      <c r="F35" s="1037" t="e">
        <f t="shared" si="0"/>
        <v>#VALUE!</v>
      </c>
      <c r="G35" s="222" t="e">
        <f t="shared" si="1"/>
        <v>#VALUE!</v>
      </c>
      <c r="H35" s="898" t="e">
        <f t="shared" si="2"/>
        <v>#VALUE!</v>
      </c>
      <c r="I35" s="897" t="e">
        <f t="shared" si="3"/>
        <v>#VALUE!</v>
      </c>
      <c r="J35" s="223">
        <f t="shared" si="4"/>
        <v>0</v>
      </c>
      <c r="K35" s="224" t="e">
        <f>IF(C35="","",VLOOKUP(C35,ForageGrowthCurves!A$6:'ForageGrowthCurves'!$O$18,15,FALSE))</f>
        <v>#N/A</v>
      </c>
      <c r="L35" s="254"/>
      <c r="M35" s="254"/>
      <c r="N35" s="254"/>
      <c r="O35" s="254"/>
      <c r="P35" s="254"/>
      <c r="Q35" s="254"/>
      <c r="R35" s="254"/>
    </row>
    <row r="36" spans="1:18" ht="16">
      <c r="A36" s="305"/>
      <c r="B36" s="225">
        <f>Field19</f>
        <v>19</v>
      </c>
      <c r="C36" s="1044">
        <f>Kind19</f>
        <v>0</v>
      </c>
      <c r="D36" s="1042">
        <f>Acres19</f>
        <v>0</v>
      </c>
      <c r="E36" s="1045" t="e">
        <f>IF(C36="","",('Step 3. FA Balance'!$J139*'Step 3. FA Balance'!$L139/100))</f>
        <v>#VALUE!</v>
      </c>
      <c r="F36" s="1037" t="e">
        <f t="shared" si="0"/>
        <v>#VALUE!</v>
      </c>
      <c r="G36" s="222" t="e">
        <f t="shared" si="1"/>
        <v>#VALUE!</v>
      </c>
      <c r="H36" s="898" t="e">
        <f t="shared" si="2"/>
        <v>#VALUE!</v>
      </c>
      <c r="I36" s="897" t="e">
        <f t="shared" si="3"/>
        <v>#VALUE!</v>
      </c>
      <c r="J36" s="223">
        <f t="shared" si="4"/>
        <v>0</v>
      </c>
      <c r="K36" s="224" t="e">
        <f>IF(C36="","",VLOOKUP(C36,ForageGrowthCurves!A$6:'ForageGrowthCurves'!$O$18,15,FALSE))</f>
        <v>#N/A</v>
      </c>
      <c r="L36" s="254"/>
      <c r="M36" s="254"/>
      <c r="N36" s="254"/>
      <c r="O36" s="254"/>
      <c r="P36" s="254"/>
      <c r="Q36" s="254"/>
      <c r="R36" s="254"/>
    </row>
    <row r="37" spans="1:18" ht="16">
      <c r="A37" s="305"/>
      <c r="B37" s="225">
        <f>Field20</f>
        <v>20</v>
      </c>
      <c r="C37" s="1044">
        <f>Kind20</f>
        <v>0</v>
      </c>
      <c r="D37" s="1042">
        <f>Acres20</f>
        <v>0</v>
      </c>
      <c r="E37" s="1045" t="e">
        <f>IF(C37="","",('Step 3. FA Balance'!$J141*'Step 3. FA Balance'!$L141/100))</f>
        <v>#VALUE!</v>
      </c>
      <c r="F37" s="1037" t="e">
        <f t="shared" si="0"/>
        <v>#VALUE!</v>
      </c>
      <c r="G37" s="222" t="e">
        <f t="shared" si="1"/>
        <v>#VALUE!</v>
      </c>
      <c r="H37" s="898" t="e">
        <f t="shared" si="2"/>
        <v>#VALUE!</v>
      </c>
      <c r="I37" s="897" t="e">
        <f t="shared" si="3"/>
        <v>#VALUE!</v>
      </c>
      <c r="J37" s="223">
        <f t="shared" si="4"/>
        <v>0</v>
      </c>
      <c r="K37" s="224" t="e">
        <f>IF(C37="","",VLOOKUP(C37,ForageGrowthCurves!A$6:'ForageGrowthCurves'!$O$18,15,FALSE))</f>
        <v>#N/A</v>
      </c>
      <c r="L37" s="254"/>
      <c r="M37" s="254"/>
      <c r="N37" s="254"/>
      <c r="O37" s="254"/>
      <c r="P37" s="254"/>
      <c r="Q37" s="254"/>
      <c r="R37" s="254"/>
    </row>
    <row r="38" spans="1:18" ht="16">
      <c r="A38" s="305"/>
      <c r="B38" s="225">
        <f>Field21</f>
        <v>21</v>
      </c>
      <c r="C38" s="1044">
        <f>Kind21</f>
        <v>0</v>
      </c>
      <c r="D38" s="1042">
        <f>Acres21</f>
        <v>0</v>
      </c>
      <c r="E38" s="1045" t="e">
        <f>IF(C38="","",('Step 3. FA Balance'!$J143*'Step 3. FA Balance'!$L143/100))</f>
        <v>#VALUE!</v>
      </c>
      <c r="F38" s="1037" t="e">
        <f t="shared" si="0"/>
        <v>#VALUE!</v>
      </c>
      <c r="G38" s="222" t="e">
        <f t="shared" si="1"/>
        <v>#VALUE!</v>
      </c>
      <c r="H38" s="898" t="e">
        <f t="shared" si="2"/>
        <v>#VALUE!</v>
      </c>
      <c r="I38" s="897" t="e">
        <f t="shared" si="3"/>
        <v>#VALUE!</v>
      </c>
      <c r="J38" s="223">
        <f t="shared" si="4"/>
        <v>0</v>
      </c>
      <c r="K38" s="224" t="e">
        <f>IF(C38="","",VLOOKUP(C38,ForageGrowthCurves!A$6:'ForageGrowthCurves'!$O$18,15,FALSE))</f>
        <v>#N/A</v>
      </c>
      <c r="L38" s="254"/>
      <c r="M38" s="254"/>
      <c r="N38" s="254"/>
      <c r="O38" s="254"/>
      <c r="P38" s="254"/>
      <c r="Q38" s="254"/>
      <c r="R38" s="254"/>
    </row>
    <row r="39" spans="1:18" ht="16">
      <c r="A39" s="305"/>
      <c r="B39" s="225">
        <f>Field22</f>
        <v>22</v>
      </c>
      <c r="C39" s="1044">
        <f>Kind22</f>
        <v>0</v>
      </c>
      <c r="D39" s="1042">
        <f>Acres22</f>
        <v>0</v>
      </c>
      <c r="E39" s="1045" t="e">
        <f>IF(C39="","",('Step 3. FA Balance'!$J145*'Step 3. FA Balance'!$L145/100))</f>
        <v>#VALUE!</v>
      </c>
      <c r="F39" s="1037" t="e">
        <f t="shared" si="0"/>
        <v>#VALUE!</v>
      </c>
      <c r="G39" s="222" t="e">
        <f t="shared" si="1"/>
        <v>#VALUE!</v>
      </c>
      <c r="H39" s="898" t="e">
        <f t="shared" si="2"/>
        <v>#VALUE!</v>
      </c>
      <c r="I39" s="897" t="e">
        <f t="shared" si="3"/>
        <v>#VALUE!</v>
      </c>
      <c r="J39" s="223">
        <f t="shared" si="4"/>
        <v>0</v>
      </c>
      <c r="K39" s="224" t="e">
        <f>IF(C39="","",VLOOKUP(C39,ForageGrowthCurves!A$6:'ForageGrowthCurves'!$O$18,15,FALSE))</f>
        <v>#N/A</v>
      </c>
      <c r="L39" s="254"/>
      <c r="M39" s="254"/>
      <c r="N39" s="254"/>
      <c r="O39" s="254"/>
      <c r="P39" s="254"/>
      <c r="Q39" s="254"/>
      <c r="R39" s="254"/>
    </row>
    <row r="40" spans="1:18" ht="16">
      <c r="A40" s="305"/>
      <c r="B40" s="225">
        <f>Field23</f>
        <v>23</v>
      </c>
      <c r="C40" s="1044">
        <f>Kind23</f>
        <v>0</v>
      </c>
      <c r="D40" s="1042">
        <f>Acres23</f>
        <v>0</v>
      </c>
      <c r="E40" s="1045" t="e">
        <f>IF(C40="","",('Step 3. FA Balance'!$J147*'Step 3. FA Balance'!$L147/100))</f>
        <v>#VALUE!</v>
      </c>
      <c r="F40" s="1037" t="e">
        <f t="shared" si="0"/>
        <v>#VALUE!</v>
      </c>
      <c r="G40" s="222" t="e">
        <f t="shared" si="1"/>
        <v>#VALUE!</v>
      </c>
      <c r="H40" s="898" t="e">
        <f t="shared" si="2"/>
        <v>#VALUE!</v>
      </c>
      <c r="I40" s="897" t="e">
        <f t="shared" si="3"/>
        <v>#VALUE!</v>
      </c>
      <c r="J40" s="223">
        <f t="shared" si="4"/>
        <v>0</v>
      </c>
      <c r="K40" s="224" t="e">
        <f>IF(C40="","",VLOOKUP(C40,ForageGrowthCurves!A$6:'ForageGrowthCurves'!$O$18,15,FALSE))</f>
        <v>#N/A</v>
      </c>
      <c r="L40" s="254"/>
      <c r="M40" s="254"/>
      <c r="N40" s="254"/>
      <c r="O40" s="254"/>
      <c r="P40" s="254"/>
      <c r="Q40" s="254"/>
      <c r="R40" s="254"/>
    </row>
    <row r="41" spans="1:18" ht="16">
      <c r="A41" s="305"/>
      <c r="B41" s="225">
        <f>Field24</f>
        <v>24</v>
      </c>
      <c r="C41" s="1044">
        <f>Kind24</f>
        <v>0</v>
      </c>
      <c r="D41" s="1042">
        <f>Acres24</f>
        <v>0</v>
      </c>
      <c r="E41" s="1045" t="e">
        <f>IF(C41="","",('Step 3. FA Balance'!$J149*'Step 3. FA Balance'!$L149/100))</f>
        <v>#VALUE!</v>
      </c>
      <c r="F41" s="1037" t="e">
        <f t="shared" si="0"/>
        <v>#VALUE!</v>
      </c>
      <c r="G41" s="222" t="e">
        <f t="shared" si="1"/>
        <v>#VALUE!</v>
      </c>
      <c r="H41" s="898" t="e">
        <f t="shared" si="2"/>
        <v>#VALUE!</v>
      </c>
      <c r="I41" s="897" t="e">
        <f t="shared" si="3"/>
        <v>#VALUE!</v>
      </c>
      <c r="J41" s="223">
        <f t="shared" si="4"/>
        <v>0</v>
      </c>
      <c r="K41" s="224" t="e">
        <f>IF(C41="","",VLOOKUP(C41,ForageGrowthCurves!A$6:'ForageGrowthCurves'!$O$18,15,FALSE))</f>
        <v>#N/A</v>
      </c>
      <c r="L41" s="254"/>
      <c r="M41" s="254"/>
      <c r="N41" s="254"/>
      <c r="O41" s="254"/>
      <c r="P41" s="254"/>
      <c r="Q41" s="254"/>
      <c r="R41" s="254"/>
    </row>
    <row r="42" spans="1:18" ht="16">
      <c r="A42" s="305"/>
      <c r="B42" s="937"/>
      <c r="C42" s="226"/>
      <c r="D42" s="226"/>
      <c r="E42" s="227"/>
      <c r="F42" s="228"/>
      <c r="G42" s="229"/>
      <c r="H42" s="230"/>
      <c r="I42" s="231"/>
      <c r="J42" s="232"/>
      <c r="K42" s="233"/>
      <c r="L42" s="256"/>
      <c r="M42" s="254"/>
      <c r="N42" s="254"/>
      <c r="O42" s="254"/>
      <c r="P42" s="254"/>
      <c r="Q42" s="254"/>
      <c r="R42" s="254"/>
    </row>
    <row r="43" spans="1:18" ht="17">
      <c r="A43" s="305"/>
      <c r="B43" s="234" t="s">
        <v>83</v>
      </c>
      <c r="C43" s="1046"/>
      <c r="D43" s="143" t="e">
        <f>D44/C44</f>
        <v>#DIV/0!</v>
      </c>
      <c r="E43" s="1037" t="e">
        <f>E44/C44</f>
        <v>#VALUE!</v>
      </c>
      <c r="F43" s="1037" t="e">
        <f>F44/C44</f>
        <v>#VALUE!</v>
      </c>
      <c r="G43" s="1047" t="e">
        <f>SUBTOTAL(109,G18:G41)/C44</f>
        <v>#VALUE!</v>
      </c>
      <c r="H43" s="1048" t="e">
        <f>SUBTOTAL(109,H18:H41)/C44</f>
        <v>#VALUE!</v>
      </c>
      <c r="I43" s="1048" t="e">
        <f>SUBTOTAL(109,I18:I41)/C44</f>
        <v>#VALUE!</v>
      </c>
      <c r="J43" s="1049" t="e">
        <f>(D44/I10)</f>
        <v>#DIV/0!</v>
      </c>
      <c r="K43" s="210"/>
      <c r="L43" s="256"/>
      <c r="M43" s="254"/>
      <c r="N43" s="254"/>
      <c r="O43" s="254"/>
      <c r="P43" s="254"/>
      <c r="Q43" s="254"/>
      <c r="R43" s="254"/>
    </row>
    <row r="44" spans="1:18" ht="17">
      <c r="A44" s="305"/>
      <c r="B44" s="234" t="s">
        <v>84</v>
      </c>
      <c r="C44" s="1047">
        <f>COUNTIF(F18:F41,"&gt;0")</f>
        <v>0</v>
      </c>
      <c r="D44" s="143">
        <f>SUBTOTAL(109,D18:D41)</f>
        <v>0</v>
      </c>
      <c r="E44" s="143" t="e">
        <f>SUBTOTAL(109,E18:E41)</f>
        <v>#VALUE!</v>
      </c>
      <c r="F44" s="143" t="e">
        <f>SUBTOTAL(109,F18:F41)</f>
        <v>#VALUE!</v>
      </c>
      <c r="G44" s="1050"/>
      <c r="H44" s="1050"/>
      <c r="I44" s="1050"/>
      <c r="J44" s="1051" t="s">
        <v>85</v>
      </c>
      <c r="K44" s="210"/>
      <c r="L44" s="257"/>
      <c r="M44" s="254"/>
      <c r="N44" s="254"/>
      <c r="O44" s="254"/>
      <c r="P44" s="254"/>
      <c r="Q44" s="254"/>
      <c r="R44" s="254"/>
    </row>
    <row r="45" spans="1:18" ht="16">
      <c r="A45" s="305"/>
      <c r="B45" s="236"/>
      <c r="C45" s="237" t="s">
        <v>115</v>
      </c>
      <c r="D45" s="238"/>
      <c r="E45" s="239"/>
      <c r="F45" s="240"/>
      <c r="G45" s="241"/>
      <c r="H45" s="242"/>
      <c r="I45" s="242"/>
      <c r="J45" s="243"/>
      <c r="K45" s="210"/>
      <c r="L45" s="257"/>
      <c r="M45" s="254"/>
      <c r="N45" s="254"/>
      <c r="O45" s="254"/>
      <c r="P45" s="254"/>
      <c r="Q45" s="254"/>
      <c r="R45" s="254"/>
    </row>
    <row r="46" spans="1:18" ht="16">
      <c r="A46" s="305"/>
      <c r="B46" s="244" t="s">
        <v>119</v>
      </c>
      <c r="C46" s="245"/>
      <c r="D46" s="143" t="e">
        <f>F44</f>
        <v>#VALUE!</v>
      </c>
      <c r="E46" s="202"/>
      <c r="F46" s="202"/>
      <c r="G46" s="202"/>
      <c r="H46" s="202"/>
      <c r="I46" s="202"/>
      <c r="J46" s="202"/>
      <c r="K46" s="210"/>
      <c r="L46" s="256"/>
      <c r="M46" s="254"/>
      <c r="N46" s="254"/>
      <c r="O46" s="254"/>
      <c r="P46" s="254"/>
      <c r="Q46" s="254"/>
      <c r="R46" s="254"/>
    </row>
    <row r="47" spans="1:18">
      <c r="A47" s="305"/>
      <c r="B47" s="201"/>
      <c r="C47" s="202"/>
      <c r="D47" s="202"/>
      <c r="E47" s="202"/>
      <c r="F47" s="202"/>
      <c r="G47" s="202"/>
      <c r="H47" s="202"/>
      <c r="I47" s="202"/>
      <c r="J47" s="202"/>
      <c r="K47" s="210"/>
      <c r="L47" s="254"/>
      <c r="M47" s="254"/>
      <c r="N47" s="254"/>
      <c r="O47" s="254"/>
      <c r="P47" s="254"/>
      <c r="Q47" s="254"/>
      <c r="R47" s="254"/>
    </row>
    <row r="48" spans="1:18" ht="16">
      <c r="A48" s="305"/>
      <c r="B48" s="301" t="s">
        <v>406</v>
      </c>
      <c r="C48" s="247"/>
      <c r="D48" s="247"/>
      <c r="E48" s="247"/>
      <c r="F48" s="247"/>
      <c r="G48" s="228"/>
      <c r="H48" s="228"/>
      <c r="I48" s="228"/>
      <c r="J48" s="228"/>
      <c r="K48" s="246"/>
      <c r="L48" s="258"/>
      <c r="M48" s="254"/>
      <c r="N48" s="254"/>
      <c r="O48" s="254"/>
      <c r="P48" s="254"/>
      <c r="Q48" s="254"/>
      <c r="R48" s="254"/>
    </row>
    <row r="49" spans="1:18" ht="10.5" customHeight="1">
      <c r="A49" s="305"/>
      <c r="B49" s="301"/>
      <c r="C49" s="247"/>
      <c r="D49" s="247"/>
      <c r="E49" s="247"/>
      <c r="F49" s="247"/>
      <c r="G49" s="248"/>
      <c r="H49" s="248"/>
      <c r="I49" s="248"/>
      <c r="J49" s="248"/>
      <c r="K49" s="217"/>
      <c r="L49" s="259"/>
      <c r="M49" s="254"/>
      <c r="N49" s="254"/>
      <c r="O49" s="254"/>
      <c r="P49" s="254"/>
      <c r="Q49" s="254"/>
      <c r="R49" s="254"/>
    </row>
    <row r="50" spans="1:18" ht="17.25" customHeight="1">
      <c r="A50" s="305"/>
      <c r="B50" s="273" t="s">
        <v>1287</v>
      </c>
      <c r="C50" s="202"/>
      <c r="D50" s="202"/>
      <c r="E50" s="202"/>
      <c r="F50" s="202"/>
      <c r="G50" s="249"/>
      <c r="H50" s="250"/>
      <c r="I50" s="251"/>
      <c r="J50" s="203"/>
      <c r="K50" s="210"/>
      <c r="L50" s="259"/>
      <c r="M50" s="254"/>
      <c r="N50" s="254"/>
      <c r="O50" s="254"/>
      <c r="P50" s="254"/>
      <c r="Q50" s="254"/>
      <c r="R50" s="254"/>
    </row>
    <row r="51" spans="1:18" ht="17.25" customHeight="1">
      <c r="A51" s="305"/>
      <c r="B51" s="299" t="s">
        <v>1288</v>
      </c>
      <c r="C51" s="202"/>
      <c r="D51" s="202"/>
      <c r="E51" s="202"/>
      <c r="F51" s="202"/>
      <c r="G51" s="250"/>
      <c r="H51" s="250"/>
      <c r="I51" s="250"/>
      <c r="J51" s="250"/>
      <c r="K51" s="210"/>
      <c r="L51" s="259"/>
      <c r="M51" s="254"/>
      <c r="N51" s="254"/>
      <c r="O51" s="254"/>
      <c r="P51" s="254"/>
      <c r="Q51" s="254"/>
      <c r="R51" s="254"/>
    </row>
    <row r="52" spans="1:18" ht="17.25" customHeight="1">
      <c r="A52" s="305"/>
      <c r="B52" s="298" t="s">
        <v>1289</v>
      </c>
      <c r="C52" s="202"/>
      <c r="D52" s="202"/>
      <c r="E52" s="202"/>
      <c r="F52" s="202"/>
      <c r="G52" s="250"/>
      <c r="H52" s="250"/>
      <c r="I52" s="250"/>
      <c r="J52" s="248"/>
      <c r="K52" s="210"/>
      <c r="L52" s="254"/>
      <c r="M52" s="254"/>
      <c r="N52" s="254"/>
      <c r="O52" s="254"/>
      <c r="P52" s="254"/>
      <c r="Q52" s="254"/>
      <c r="R52" s="254"/>
    </row>
    <row r="53" spans="1:18" ht="17.25" customHeight="1">
      <c r="A53" s="305"/>
      <c r="B53" s="298" t="s">
        <v>1290</v>
      </c>
      <c r="C53" s="202"/>
      <c r="D53" s="202"/>
      <c r="E53" s="202"/>
      <c r="F53" s="202"/>
      <c r="G53" s="250"/>
      <c r="H53" s="250"/>
      <c r="I53" s="250"/>
      <c r="J53" s="248"/>
      <c r="K53" s="210"/>
      <c r="L53" s="254"/>
      <c r="M53" s="254"/>
      <c r="N53" s="254"/>
      <c r="O53" s="254"/>
      <c r="P53" s="254"/>
      <c r="Q53" s="254"/>
      <c r="R53" s="254"/>
    </row>
    <row r="54" spans="1:18" ht="17.25" customHeight="1">
      <c r="A54" s="305"/>
      <c r="B54" s="298" t="s">
        <v>1291</v>
      </c>
      <c r="C54" s="202"/>
      <c r="D54" s="202"/>
      <c r="E54" s="202"/>
      <c r="F54" s="202"/>
      <c r="G54" s="202"/>
      <c r="H54" s="202"/>
      <c r="I54" s="202"/>
      <c r="J54" s="202"/>
      <c r="K54" s="210"/>
      <c r="L54" s="254"/>
      <c r="M54" s="254"/>
      <c r="N54" s="254"/>
      <c r="O54" s="254"/>
      <c r="P54" s="254"/>
      <c r="Q54" s="254"/>
      <c r="R54" s="254"/>
    </row>
    <row r="55" spans="1:18" ht="17.25" customHeight="1">
      <c r="A55" s="305"/>
      <c r="B55" s="298" t="s">
        <v>1292</v>
      </c>
      <c r="C55" s="202"/>
      <c r="D55" s="202"/>
      <c r="E55" s="202"/>
      <c r="F55" s="202"/>
      <c r="G55" s="202"/>
      <c r="H55" s="202"/>
      <c r="I55" s="202"/>
      <c r="J55" s="202"/>
      <c r="K55" s="210"/>
      <c r="L55" s="254"/>
      <c r="M55" s="254"/>
      <c r="N55" s="254"/>
      <c r="O55" s="254"/>
      <c r="P55" s="254"/>
      <c r="Q55" s="254"/>
      <c r="R55" s="254"/>
    </row>
    <row r="56" spans="1:18" ht="17.25" customHeight="1">
      <c r="A56" s="305"/>
      <c r="B56" s="2498" t="s">
        <v>1293</v>
      </c>
      <c r="C56" s="2499"/>
      <c r="D56" s="2499"/>
      <c r="E56" s="2499"/>
      <c r="F56" s="2499"/>
      <c r="G56" s="2499"/>
      <c r="H56" s="2499"/>
      <c r="I56" s="2499"/>
      <c r="J56" s="2499"/>
      <c r="K56" s="2500"/>
      <c r="L56" s="254"/>
      <c r="M56" s="254"/>
      <c r="N56" s="254"/>
      <c r="O56" s="254"/>
      <c r="P56" s="254"/>
      <c r="Q56" s="254"/>
      <c r="R56" s="254"/>
    </row>
    <row r="57" spans="1:18" ht="17.25" customHeight="1">
      <c r="A57" s="305"/>
      <c r="B57" s="2495" t="s">
        <v>1294</v>
      </c>
      <c r="C57" s="2496"/>
      <c r="D57" s="2496"/>
      <c r="E57" s="2496"/>
      <c r="F57" s="2496"/>
      <c r="G57" s="2496"/>
      <c r="H57" s="2496"/>
      <c r="I57" s="2496"/>
      <c r="J57" s="2496"/>
      <c r="K57" s="2497"/>
      <c r="L57" s="254"/>
      <c r="M57" s="254"/>
      <c r="N57" s="254"/>
      <c r="O57" s="254"/>
      <c r="P57" s="254"/>
      <c r="Q57" s="254"/>
      <c r="R57" s="254"/>
    </row>
    <row r="58" spans="1:18" ht="12" customHeight="1" thickBot="1">
      <c r="A58" s="305"/>
      <c r="B58" s="302"/>
      <c r="C58" s="276"/>
      <c r="D58" s="276"/>
      <c r="E58" s="276"/>
      <c r="F58" s="276"/>
      <c r="G58" s="276"/>
      <c r="H58" s="276"/>
      <c r="I58" s="276"/>
      <c r="J58" s="276"/>
      <c r="K58" s="253"/>
      <c r="L58" s="254"/>
      <c r="M58" s="254"/>
      <c r="N58" s="254"/>
      <c r="O58" s="254"/>
      <c r="P58" s="254"/>
      <c r="Q58" s="254"/>
      <c r="R58" s="254"/>
    </row>
    <row r="59" spans="1:18" ht="16.5" customHeight="1">
      <c r="A59" s="254"/>
      <c r="B59" s="955" t="s">
        <v>707</v>
      </c>
      <c r="C59" s="959"/>
      <c r="D59" s="959"/>
      <c r="E59" s="959"/>
      <c r="F59" s="959"/>
      <c r="G59" s="949"/>
      <c r="H59" s="949"/>
      <c r="I59" s="949"/>
      <c r="J59" s="949"/>
      <c r="K59" s="950"/>
      <c r="L59" s="254"/>
      <c r="M59" s="254"/>
      <c r="N59" s="254"/>
      <c r="O59" s="254"/>
      <c r="P59" s="254"/>
      <c r="Q59" s="254"/>
      <c r="R59" s="254"/>
    </row>
    <row r="60" spans="1:18" ht="16.5" customHeight="1">
      <c r="A60" s="254"/>
      <c r="B60" s="956" t="s">
        <v>708</v>
      </c>
      <c r="C60" s="37"/>
      <c r="D60" s="37"/>
      <c r="E60" s="37"/>
      <c r="F60" s="37"/>
      <c r="K60" s="951"/>
      <c r="L60" s="254"/>
      <c r="M60" s="254"/>
      <c r="N60" s="254"/>
      <c r="O60" s="254"/>
      <c r="P60" s="254"/>
      <c r="Q60" s="254"/>
      <c r="R60" s="254"/>
    </row>
    <row r="61" spans="1:18" ht="16.5" customHeight="1">
      <c r="A61" s="254"/>
      <c r="B61" s="956" t="s">
        <v>1286</v>
      </c>
      <c r="C61" s="37"/>
      <c r="D61" s="37"/>
      <c r="E61" s="37"/>
      <c r="F61" s="37"/>
      <c r="K61" s="951"/>
      <c r="L61" s="254"/>
      <c r="M61" s="254"/>
      <c r="N61" s="254"/>
      <c r="O61" s="254"/>
      <c r="P61" s="254"/>
      <c r="Q61" s="254"/>
      <c r="R61" s="254"/>
    </row>
    <row r="62" spans="1:18" ht="16.5" customHeight="1">
      <c r="A62" s="254"/>
      <c r="B62" s="956" t="s">
        <v>709</v>
      </c>
      <c r="C62" s="37"/>
      <c r="D62" s="37"/>
      <c r="E62" s="37"/>
      <c r="F62" s="37"/>
      <c r="K62" s="951"/>
      <c r="L62" s="254"/>
      <c r="M62" s="254"/>
      <c r="N62" s="254"/>
      <c r="O62" s="254"/>
      <c r="P62" s="254"/>
      <c r="Q62" s="254"/>
      <c r="R62" s="254"/>
    </row>
    <row r="63" spans="1:18" ht="16.5" customHeight="1">
      <c r="A63" s="254"/>
      <c r="B63" s="956" t="s">
        <v>712</v>
      </c>
      <c r="C63" s="37"/>
      <c r="D63" s="37"/>
      <c r="E63" s="37"/>
      <c r="F63" s="37"/>
      <c r="K63" s="951"/>
      <c r="L63" s="254"/>
      <c r="M63" s="254"/>
      <c r="N63" s="254"/>
      <c r="O63" s="254"/>
      <c r="P63" s="254"/>
      <c r="Q63" s="254"/>
      <c r="R63" s="254"/>
    </row>
    <row r="64" spans="1:18" ht="16.5" customHeight="1" thickBot="1">
      <c r="A64" s="254"/>
      <c r="B64" s="932"/>
      <c r="K64" s="951"/>
      <c r="L64" s="254"/>
      <c r="M64" s="254"/>
      <c r="N64" s="254"/>
      <c r="O64" s="254"/>
      <c r="P64" s="254"/>
      <c r="Q64" s="254"/>
      <c r="R64" s="254"/>
    </row>
    <row r="65" spans="1:18" ht="16.5" customHeight="1">
      <c r="A65" s="254"/>
      <c r="B65" s="957"/>
      <c r="C65" s="949"/>
      <c r="D65" s="950"/>
      <c r="E65" s="951"/>
      <c r="F65" s="948"/>
      <c r="G65" s="949"/>
      <c r="H65" s="950"/>
      <c r="K65" s="951"/>
      <c r="L65" s="254"/>
      <c r="M65" s="254"/>
      <c r="N65" s="254"/>
      <c r="O65" s="254"/>
      <c r="P65" s="254"/>
      <c r="Q65" s="254"/>
      <c r="R65" s="254"/>
    </row>
    <row r="66" spans="1:18">
      <c r="A66" s="254"/>
      <c r="B66" s="957"/>
      <c r="D66" s="951"/>
      <c r="E66" s="951"/>
      <c r="F66" s="932"/>
      <c r="H66" s="951"/>
      <c r="K66" s="951"/>
      <c r="L66" s="254"/>
      <c r="M66" s="254"/>
      <c r="N66" s="254"/>
      <c r="O66" s="254"/>
      <c r="P66" s="254"/>
      <c r="Q66" s="254"/>
      <c r="R66" s="254"/>
    </row>
    <row r="67" spans="1:18" ht="15" thickBot="1">
      <c r="A67" s="254"/>
      <c r="B67" s="957"/>
      <c r="C67" s="953"/>
      <c r="D67" s="954"/>
      <c r="E67" s="951"/>
      <c r="F67" s="952"/>
      <c r="G67" s="953"/>
      <c r="H67" s="954"/>
      <c r="K67" s="951"/>
      <c r="L67" s="254"/>
      <c r="M67" s="254"/>
      <c r="N67" s="254"/>
      <c r="O67" s="254"/>
      <c r="P67" s="254"/>
      <c r="Q67" s="254"/>
      <c r="R67" s="254"/>
    </row>
    <row r="68" spans="1:18" ht="20">
      <c r="A68" s="254"/>
      <c r="B68" s="932"/>
      <c r="C68" s="958" t="s">
        <v>710</v>
      </c>
      <c r="D68" s="958"/>
      <c r="F68" s="958" t="s">
        <v>711</v>
      </c>
      <c r="K68" s="951"/>
      <c r="L68" s="254"/>
      <c r="M68" s="254"/>
      <c r="N68" s="254"/>
      <c r="O68" s="254"/>
      <c r="P68" s="254"/>
      <c r="Q68" s="254"/>
      <c r="R68" s="254"/>
    </row>
    <row r="69" spans="1:18" ht="20">
      <c r="A69" s="254"/>
      <c r="B69" s="960"/>
      <c r="C69" s="958"/>
      <c r="D69" s="958"/>
      <c r="E69" s="958"/>
      <c r="F69" s="958"/>
      <c r="K69" s="951"/>
      <c r="L69" s="254"/>
      <c r="M69" s="254"/>
      <c r="N69" s="254"/>
      <c r="O69" s="254"/>
      <c r="P69" s="254"/>
      <c r="Q69" s="254"/>
      <c r="R69" s="254"/>
    </row>
    <row r="70" spans="1:18" ht="15">
      <c r="A70" s="254"/>
      <c r="B70" s="2492" t="s">
        <v>713</v>
      </c>
      <c r="C70" s="2493"/>
      <c r="D70" s="2493"/>
      <c r="E70" s="2493"/>
      <c r="F70" s="2493"/>
      <c r="G70" s="2493"/>
      <c r="H70" s="2493"/>
      <c r="I70" s="2493"/>
      <c r="J70" s="2493"/>
      <c r="K70" s="2494"/>
      <c r="L70" s="254"/>
      <c r="M70" s="254"/>
      <c r="N70" s="254"/>
      <c r="O70" s="254"/>
      <c r="P70" s="254"/>
      <c r="Q70" s="254"/>
      <c r="R70" s="254"/>
    </row>
    <row r="71" spans="1:18" ht="15" thickBot="1">
      <c r="A71" s="254"/>
      <c r="B71" s="952"/>
      <c r="C71" s="953"/>
      <c r="D71" s="953"/>
      <c r="E71" s="953"/>
      <c r="F71" s="953"/>
      <c r="G71" s="953"/>
      <c r="H71" s="953"/>
      <c r="I71" s="953"/>
      <c r="J71" s="953"/>
      <c r="K71" s="954"/>
      <c r="L71" s="254"/>
      <c r="M71" s="254"/>
      <c r="N71" s="254"/>
      <c r="O71" s="254"/>
      <c r="P71" s="254"/>
      <c r="Q71" s="254"/>
      <c r="R71" s="254"/>
    </row>
    <row r="72" spans="1:18">
      <c r="A72" s="254"/>
      <c r="B72" s="254"/>
      <c r="C72" s="254"/>
      <c r="D72" s="254"/>
      <c r="E72" s="254"/>
      <c r="F72" s="254"/>
      <c r="G72" s="254"/>
      <c r="H72" s="254"/>
      <c r="I72" s="254"/>
      <c r="J72" s="254"/>
      <c r="K72" s="254"/>
      <c r="L72" s="254"/>
      <c r="M72" s="254"/>
      <c r="N72" s="254"/>
      <c r="O72" s="254"/>
      <c r="P72" s="254"/>
      <c r="Q72" s="254"/>
      <c r="R72" s="254"/>
    </row>
    <row r="73" spans="1:18">
      <c r="A73" s="254"/>
      <c r="B73" s="254"/>
      <c r="C73" s="254"/>
      <c r="D73" s="254"/>
      <c r="E73" s="254"/>
      <c r="F73" s="254"/>
      <c r="G73" s="254"/>
      <c r="H73" s="254"/>
      <c r="I73" s="254"/>
      <c r="J73" s="254"/>
      <c r="K73" s="254"/>
      <c r="L73" s="254"/>
      <c r="M73" s="254"/>
      <c r="N73" s="254"/>
      <c r="O73" s="254"/>
      <c r="P73" s="254"/>
      <c r="Q73" s="254"/>
      <c r="R73" s="254"/>
    </row>
    <row r="74" spans="1:18">
      <c r="A74" s="254"/>
      <c r="B74" s="254"/>
      <c r="C74" s="254"/>
      <c r="D74" s="254"/>
      <c r="E74" s="254"/>
      <c r="F74" s="254"/>
      <c r="G74" s="254"/>
      <c r="H74" s="254"/>
      <c r="I74" s="254"/>
      <c r="J74" s="254"/>
      <c r="K74" s="254"/>
      <c r="L74" s="254"/>
      <c r="M74" s="254"/>
      <c r="N74" s="254"/>
      <c r="O74" s="254"/>
      <c r="P74" s="254"/>
      <c r="Q74" s="254"/>
      <c r="R74" s="254"/>
    </row>
    <row r="75" spans="1:18">
      <c r="A75" s="254"/>
      <c r="B75" s="254"/>
      <c r="C75" s="254"/>
      <c r="D75" s="254"/>
      <c r="E75" s="254"/>
      <c r="F75" s="254"/>
      <c r="G75" s="254"/>
      <c r="H75" s="254"/>
      <c r="I75" s="254"/>
      <c r="J75" s="254"/>
      <c r="K75" s="254"/>
      <c r="L75" s="254"/>
      <c r="M75" s="254"/>
      <c r="N75" s="254"/>
      <c r="O75" s="254"/>
      <c r="P75" s="254"/>
      <c r="Q75" s="254"/>
      <c r="R75" s="254"/>
    </row>
    <row r="76" spans="1:18">
      <c r="A76" s="254"/>
      <c r="B76" s="254"/>
      <c r="C76" s="254"/>
      <c r="D76" s="254"/>
      <c r="E76" s="254"/>
      <c r="F76" s="254"/>
      <c r="G76" s="254"/>
      <c r="H76" s="254"/>
      <c r="I76" s="254"/>
      <c r="J76" s="254"/>
      <c r="K76" s="254"/>
      <c r="L76" s="254"/>
      <c r="M76" s="254"/>
      <c r="N76" s="254"/>
      <c r="O76" s="254"/>
      <c r="P76" s="254"/>
      <c r="Q76" s="254"/>
      <c r="R76" s="254"/>
    </row>
    <row r="77" spans="1:18">
      <c r="A77" s="254"/>
      <c r="B77" s="254"/>
      <c r="C77" s="254"/>
      <c r="D77" s="254"/>
      <c r="E77" s="254"/>
      <c r="F77" s="254"/>
      <c r="G77" s="254"/>
      <c r="H77" s="254"/>
      <c r="I77" s="254"/>
      <c r="J77" s="254"/>
      <c r="K77" s="254"/>
      <c r="L77" s="254"/>
      <c r="M77" s="254"/>
      <c r="N77" s="254"/>
      <c r="O77" s="254"/>
      <c r="P77" s="254"/>
      <c r="Q77" s="254"/>
      <c r="R77" s="254"/>
    </row>
    <row r="78" spans="1:18">
      <c r="A78" s="254"/>
      <c r="B78" s="254"/>
      <c r="C78" s="254"/>
      <c r="D78" s="254"/>
      <c r="E78" s="254"/>
      <c r="F78" s="254"/>
      <c r="G78" s="254"/>
      <c r="H78" s="254"/>
      <c r="I78" s="254"/>
      <c r="J78" s="254"/>
      <c r="K78" s="254"/>
      <c r="L78" s="254"/>
      <c r="M78" s="254"/>
      <c r="N78" s="254"/>
      <c r="O78" s="254"/>
      <c r="P78" s="254"/>
      <c r="Q78" s="254"/>
      <c r="R78" s="254"/>
    </row>
    <row r="79" spans="1:18">
      <c r="A79" s="254"/>
      <c r="B79" s="254"/>
      <c r="C79" s="254"/>
      <c r="D79" s="254"/>
      <c r="E79" s="254"/>
      <c r="F79" s="254"/>
      <c r="G79" s="254"/>
      <c r="H79" s="254"/>
      <c r="I79" s="254"/>
      <c r="J79" s="254"/>
      <c r="K79" s="254"/>
      <c r="L79" s="254"/>
      <c r="M79" s="254"/>
      <c r="N79" s="254"/>
      <c r="O79" s="254"/>
      <c r="P79" s="254"/>
      <c r="Q79" s="254"/>
      <c r="R79" s="254"/>
    </row>
    <row r="80" spans="1:18">
      <c r="A80" s="254"/>
      <c r="B80" s="254"/>
      <c r="C80" s="254"/>
      <c r="D80" s="254"/>
      <c r="E80" s="254"/>
      <c r="F80" s="254"/>
      <c r="G80" s="254"/>
      <c r="H80" s="254"/>
      <c r="I80" s="254"/>
      <c r="J80" s="254"/>
      <c r="K80" s="254"/>
      <c r="L80" s="254"/>
      <c r="M80" s="254"/>
      <c r="N80" s="254"/>
      <c r="O80" s="254"/>
      <c r="P80" s="254"/>
      <c r="Q80" s="254"/>
      <c r="R80" s="254"/>
    </row>
    <row r="81" spans="1:18">
      <c r="A81" s="254"/>
      <c r="B81" s="254"/>
      <c r="C81" s="254"/>
      <c r="D81" s="254"/>
      <c r="E81" s="254"/>
      <c r="F81" s="254"/>
      <c r="G81" s="254"/>
      <c r="H81" s="254"/>
      <c r="I81" s="254"/>
      <c r="J81" s="254"/>
      <c r="K81" s="254"/>
      <c r="L81" s="254"/>
      <c r="M81" s="254"/>
      <c r="N81" s="254"/>
      <c r="O81" s="254"/>
      <c r="P81" s="254"/>
      <c r="Q81" s="254"/>
      <c r="R81" s="254"/>
    </row>
    <row r="82" spans="1:18">
      <c r="A82" s="254"/>
      <c r="B82" s="254"/>
      <c r="C82" s="254"/>
      <c r="D82" s="254"/>
      <c r="E82" s="254"/>
      <c r="F82" s="254"/>
      <c r="G82" s="254"/>
      <c r="H82" s="254"/>
      <c r="I82" s="254"/>
      <c r="J82" s="254"/>
      <c r="K82" s="254"/>
      <c r="L82" s="254"/>
      <c r="M82" s="254"/>
      <c r="N82" s="254"/>
      <c r="O82" s="254"/>
      <c r="P82" s="254"/>
      <c r="Q82" s="254"/>
      <c r="R82" s="254"/>
    </row>
    <row r="83" spans="1:18">
      <c r="A83" s="254"/>
      <c r="B83" s="254"/>
      <c r="C83" s="254"/>
      <c r="D83" s="254"/>
      <c r="E83" s="254"/>
      <c r="F83" s="254"/>
      <c r="G83" s="254"/>
      <c r="H83" s="254"/>
      <c r="I83" s="254"/>
      <c r="J83" s="254"/>
      <c r="K83" s="254"/>
      <c r="L83" s="254"/>
      <c r="M83" s="254"/>
      <c r="N83" s="254"/>
      <c r="O83" s="254"/>
      <c r="P83" s="254"/>
      <c r="Q83" s="254"/>
      <c r="R83" s="254"/>
    </row>
    <row r="84" spans="1:18">
      <c r="A84" s="254"/>
      <c r="B84" s="254"/>
      <c r="C84" s="254"/>
      <c r="D84" s="254"/>
      <c r="E84" s="254"/>
      <c r="F84" s="254"/>
      <c r="G84" s="254"/>
      <c r="H84" s="254"/>
      <c r="I84" s="254"/>
      <c r="J84" s="254"/>
      <c r="K84" s="254"/>
      <c r="L84" s="254"/>
      <c r="M84" s="254"/>
      <c r="N84" s="254"/>
      <c r="O84" s="254"/>
      <c r="P84" s="254"/>
      <c r="Q84" s="254"/>
      <c r="R84" s="254"/>
    </row>
    <row r="85" spans="1:18">
      <c r="A85" s="254"/>
      <c r="B85" s="254"/>
      <c r="C85" s="254"/>
      <c r="D85" s="254"/>
      <c r="E85" s="254"/>
      <c r="F85" s="254"/>
      <c r="G85" s="254"/>
      <c r="H85" s="254"/>
      <c r="I85" s="254"/>
      <c r="J85" s="254"/>
      <c r="K85" s="254"/>
      <c r="L85" s="254"/>
      <c r="M85" s="254"/>
      <c r="N85" s="254"/>
      <c r="O85" s="254"/>
      <c r="P85" s="254"/>
      <c r="Q85" s="254"/>
      <c r="R85" s="254"/>
    </row>
    <row r="86" spans="1:18">
      <c r="A86" s="254"/>
      <c r="B86" s="254"/>
      <c r="C86" s="254"/>
      <c r="D86" s="254"/>
      <c r="E86" s="254"/>
      <c r="F86" s="254"/>
      <c r="G86" s="254"/>
      <c r="H86" s="254"/>
      <c r="I86" s="254"/>
      <c r="J86" s="254"/>
      <c r="K86" s="254"/>
      <c r="L86" s="254"/>
      <c r="M86" s="254"/>
      <c r="N86" s="254"/>
      <c r="O86" s="254"/>
      <c r="P86" s="254"/>
      <c r="Q86" s="254"/>
      <c r="R86" s="254"/>
    </row>
    <row r="87" spans="1:18">
      <c r="A87" s="254"/>
      <c r="B87" s="254"/>
      <c r="C87" s="254"/>
      <c r="D87" s="254"/>
      <c r="E87" s="254"/>
      <c r="F87" s="254"/>
      <c r="G87" s="254"/>
      <c r="H87" s="254"/>
      <c r="I87" s="254"/>
      <c r="J87" s="254"/>
      <c r="K87" s="254"/>
      <c r="L87" s="254"/>
      <c r="M87" s="254"/>
      <c r="N87" s="254"/>
      <c r="O87" s="254"/>
      <c r="P87" s="254"/>
      <c r="Q87" s="254"/>
      <c r="R87" s="254"/>
    </row>
    <row r="88" spans="1:18">
      <c r="A88" s="254"/>
      <c r="B88" s="254"/>
      <c r="C88" s="254"/>
      <c r="D88" s="254"/>
      <c r="E88" s="254"/>
      <c r="F88" s="254"/>
      <c r="G88" s="254"/>
      <c r="H88" s="254"/>
      <c r="I88" s="254"/>
      <c r="J88" s="254"/>
      <c r="K88" s="254"/>
      <c r="L88" s="254"/>
      <c r="M88" s="254"/>
      <c r="N88" s="254"/>
      <c r="O88" s="254"/>
      <c r="P88" s="254"/>
      <c r="Q88" s="254"/>
      <c r="R88" s="254"/>
    </row>
    <row r="89" spans="1:18">
      <c r="A89" s="254"/>
      <c r="B89" s="254"/>
      <c r="C89" s="254"/>
      <c r="D89" s="254"/>
      <c r="E89" s="254"/>
      <c r="F89" s="254"/>
      <c r="G89" s="254"/>
      <c r="H89" s="254"/>
      <c r="I89" s="254"/>
      <c r="J89" s="254"/>
      <c r="K89" s="254"/>
      <c r="L89" s="254"/>
      <c r="M89" s="254"/>
      <c r="N89" s="254"/>
      <c r="O89" s="254"/>
      <c r="P89" s="254"/>
      <c r="Q89" s="254"/>
      <c r="R89" s="254"/>
    </row>
    <row r="90" spans="1:18">
      <c r="A90" s="254"/>
      <c r="B90" s="254"/>
      <c r="C90" s="254"/>
      <c r="D90" s="254"/>
      <c r="E90" s="254"/>
      <c r="F90" s="254"/>
      <c r="G90" s="254"/>
      <c r="H90" s="254"/>
      <c r="I90" s="254"/>
      <c r="J90" s="254"/>
      <c r="K90" s="254"/>
      <c r="L90" s="254"/>
      <c r="M90" s="254"/>
      <c r="N90" s="254"/>
      <c r="O90" s="254"/>
      <c r="P90" s="254"/>
      <c r="Q90" s="254"/>
      <c r="R90" s="254"/>
    </row>
    <row r="91" spans="1:18">
      <c r="A91" s="254"/>
      <c r="B91" s="254"/>
      <c r="C91" s="254"/>
      <c r="D91" s="254"/>
      <c r="E91" s="254"/>
      <c r="F91" s="254"/>
      <c r="G91" s="254"/>
      <c r="H91" s="254"/>
      <c r="I91" s="254"/>
      <c r="J91" s="254"/>
      <c r="K91" s="254"/>
      <c r="L91" s="254"/>
      <c r="M91" s="254"/>
      <c r="N91" s="254"/>
      <c r="O91" s="254"/>
      <c r="P91" s="254"/>
      <c r="Q91" s="254"/>
      <c r="R91" s="254"/>
    </row>
    <row r="92" spans="1:18">
      <c r="A92" s="254"/>
      <c r="B92" s="254"/>
      <c r="C92" s="254"/>
      <c r="D92" s="254"/>
      <c r="E92" s="254"/>
      <c r="F92" s="254"/>
      <c r="G92" s="254"/>
      <c r="H92" s="254"/>
      <c r="I92" s="254"/>
      <c r="J92" s="254"/>
      <c r="K92" s="254"/>
      <c r="L92" s="254"/>
      <c r="M92" s="254"/>
      <c r="N92" s="254"/>
      <c r="O92" s="254"/>
      <c r="P92" s="254"/>
      <c r="Q92" s="254"/>
      <c r="R92" s="254"/>
    </row>
    <row r="93" spans="1:18">
      <c r="A93" s="254"/>
      <c r="B93" s="254"/>
      <c r="C93" s="254"/>
      <c r="D93" s="254"/>
      <c r="E93" s="254"/>
      <c r="F93" s="254"/>
      <c r="G93" s="254"/>
      <c r="H93" s="254"/>
      <c r="I93" s="254"/>
      <c r="J93" s="254"/>
      <c r="K93" s="254"/>
      <c r="L93" s="254"/>
      <c r="M93" s="254"/>
      <c r="N93" s="254"/>
      <c r="O93" s="254"/>
      <c r="P93" s="254"/>
      <c r="Q93" s="254"/>
      <c r="R93" s="254"/>
    </row>
  </sheetData>
  <sheetProtection sheet="1" objects="1" scenarios="1"/>
  <mergeCells count="8">
    <mergeCell ref="N7:P9"/>
    <mergeCell ref="B70:K70"/>
    <mergeCell ref="B57:K57"/>
    <mergeCell ref="B56:K56"/>
    <mergeCell ref="C4:J5"/>
    <mergeCell ref="C9:D9"/>
    <mergeCell ref="C10:D10"/>
    <mergeCell ref="C11:D11"/>
  </mergeCells>
  <phoneticPr fontId="26" type="noConversion"/>
  <printOptions horizontalCentered="1"/>
  <pageMargins left="0.75" right="0.5" top="0.72" bottom="0.5" header="0.5" footer="0.5"/>
  <pageSetup scale="59" fitToHeight="0" orientation="landscape" blackAndWhite="1" r:id="rId1"/>
  <headerFooter alignWithMargins="0"/>
  <drawing r:id="rId2"/>
  <legacyDrawing r:id="rId3"/>
  <oleObjects>
    <mc:AlternateContent xmlns:mc="http://schemas.openxmlformats.org/markup-compatibility/2006">
      <mc:Choice Requires="x14">
        <oleObject progId="Acrobat.Document.11" dvAspect="DVASPECT_ICON" shapeId="19458" r:id="rId4">
          <objectPr locked="0" defaultSize="0" autoPict="0" r:id="rId5">
            <anchor moveWithCells="1">
              <from>
                <xdr:col>13</xdr:col>
                <xdr:colOff>393700</xdr:colOff>
                <xdr:row>9</xdr:row>
                <xdr:rowOff>0</xdr:rowOff>
              </from>
              <to>
                <xdr:col>15</xdr:col>
                <xdr:colOff>317500</xdr:colOff>
                <xdr:row>13</xdr:row>
                <xdr:rowOff>101600</xdr:rowOff>
              </to>
            </anchor>
          </objectPr>
        </oleObject>
      </mc:Choice>
      <mc:Fallback>
        <oleObject progId="Acrobat.Document.11" dvAspect="DVASPECT_ICON" shapeId="19458" r:id="rId4"/>
      </mc:Fallback>
    </mc:AlternateContent>
  </oleObjec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3FBE-EBD4-4C87-BFBF-CFD5B49BA4AC}">
  <sheetPr codeName="Sheet16"/>
  <dimension ref="A1:D37"/>
  <sheetViews>
    <sheetView zoomScale="90" zoomScaleNormal="90" workbookViewId="0">
      <selection activeCell="B6" sqref="B6:C6"/>
    </sheetView>
  </sheetViews>
  <sheetFormatPr baseColWidth="10" defaultColWidth="9" defaultRowHeight="14"/>
  <cols>
    <col min="1" max="1" width="21.1640625" style="944" customWidth="1"/>
    <col min="2" max="2" width="23" style="944" customWidth="1"/>
    <col min="3" max="3" width="17" style="944" customWidth="1"/>
    <col min="4" max="4" width="15.1640625" style="944" customWidth="1"/>
    <col min="5" max="16384" width="9" style="944"/>
  </cols>
  <sheetData>
    <row r="1" spans="1:4" ht="16">
      <c r="A1" s="4"/>
      <c r="B1" s="791"/>
    </row>
    <row r="2" spans="1:4" ht="16">
      <c r="A2" s="7" t="s">
        <v>23</v>
      </c>
      <c r="B2" s="2511"/>
      <c r="C2" s="1783"/>
    </row>
    <row r="3" spans="1:4" ht="16">
      <c r="A3" s="7" t="s">
        <v>24</v>
      </c>
      <c r="B3" s="2511"/>
      <c r="C3" s="1783"/>
    </row>
    <row r="4" spans="1:4" ht="16">
      <c r="A4" s="7" t="s">
        <v>27</v>
      </c>
      <c r="B4" s="2511"/>
      <c r="C4" s="1783"/>
    </row>
    <row r="5" spans="1:4" ht="16">
      <c r="A5" s="7" t="s">
        <v>687</v>
      </c>
      <c r="B5" s="2511"/>
      <c r="C5" s="1783"/>
    </row>
    <row r="6" spans="1:4" ht="16">
      <c r="A6" s="7" t="s">
        <v>263</v>
      </c>
      <c r="B6" s="2511"/>
      <c r="C6" s="1783"/>
    </row>
    <row r="9" spans="1:4">
      <c r="A9" s="963" t="s">
        <v>684</v>
      </c>
      <c r="B9" s="963" t="s">
        <v>723</v>
      </c>
      <c r="C9" s="963" t="s">
        <v>724</v>
      </c>
      <c r="D9" s="963" t="s">
        <v>725</v>
      </c>
    </row>
    <row r="10" spans="1:4">
      <c r="A10" s="963"/>
      <c r="B10" s="963"/>
      <c r="C10" s="963"/>
      <c r="D10" s="963"/>
    </row>
    <row r="11" spans="1:4">
      <c r="A11" s="963"/>
      <c r="B11" s="963"/>
      <c r="C11" s="963"/>
      <c r="D11" s="963"/>
    </row>
    <row r="12" spans="1:4">
      <c r="A12" s="963"/>
      <c r="B12" s="963"/>
      <c r="C12" s="963"/>
      <c r="D12" s="963"/>
    </row>
    <row r="13" spans="1:4">
      <c r="A13" s="963"/>
      <c r="B13" s="963"/>
      <c r="C13" s="963"/>
      <c r="D13" s="963"/>
    </row>
    <row r="14" spans="1:4">
      <c r="A14" s="963"/>
      <c r="B14" s="963"/>
      <c r="C14" s="963"/>
      <c r="D14" s="963"/>
    </row>
    <row r="15" spans="1:4">
      <c r="A15" s="963"/>
      <c r="B15" s="963"/>
      <c r="C15" s="963"/>
      <c r="D15" s="963"/>
    </row>
    <row r="16" spans="1:4">
      <c r="A16" s="963"/>
      <c r="B16" s="963"/>
      <c r="C16" s="963"/>
      <c r="D16" s="963"/>
    </row>
    <row r="17" spans="1:4">
      <c r="A17" s="963"/>
      <c r="B17" s="963"/>
      <c r="C17" s="963"/>
      <c r="D17" s="963"/>
    </row>
    <row r="18" spans="1:4">
      <c r="A18" s="963"/>
      <c r="B18" s="963"/>
      <c r="C18" s="963"/>
      <c r="D18" s="963"/>
    </row>
    <row r="19" spans="1:4">
      <c r="A19" s="963"/>
      <c r="B19" s="963"/>
      <c r="C19" s="963"/>
      <c r="D19" s="963"/>
    </row>
    <row r="20" spans="1:4">
      <c r="A20" s="963"/>
      <c r="B20" s="963"/>
      <c r="C20" s="963"/>
      <c r="D20" s="963"/>
    </row>
    <row r="21" spans="1:4">
      <c r="A21" s="963"/>
      <c r="B21" s="963"/>
      <c r="C21" s="963"/>
      <c r="D21" s="963"/>
    </row>
    <row r="22" spans="1:4">
      <c r="A22" s="963"/>
      <c r="B22" s="963"/>
      <c r="C22" s="963"/>
      <c r="D22" s="963"/>
    </row>
    <row r="23" spans="1:4">
      <c r="A23" s="963"/>
      <c r="B23" s="963"/>
      <c r="C23" s="963"/>
      <c r="D23" s="963"/>
    </row>
    <row r="24" spans="1:4">
      <c r="A24" s="963"/>
      <c r="B24" s="963"/>
      <c r="C24" s="963"/>
      <c r="D24" s="963"/>
    </row>
    <row r="25" spans="1:4">
      <c r="A25" s="963"/>
      <c r="B25" s="963"/>
      <c r="C25" s="963"/>
      <c r="D25" s="963"/>
    </row>
    <row r="26" spans="1:4">
      <c r="A26" s="963"/>
      <c r="B26" s="963"/>
      <c r="C26" s="963"/>
      <c r="D26" s="963"/>
    </row>
    <row r="27" spans="1:4">
      <c r="A27" s="963"/>
      <c r="B27" s="963"/>
      <c r="C27" s="963"/>
      <c r="D27" s="963"/>
    </row>
    <row r="28" spans="1:4">
      <c r="A28" s="963"/>
      <c r="B28" s="963"/>
      <c r="C28" s="963"/>
      <c r="D28" s="963"/>
    </row>
    <row r="29" spans="1:4">
      <c r="A29" s="963"/>
      <c r="B29" s="963"/>
      <c r="C29" s="963"/>
      <c r="D29" s="963"/>
    </row>
    <row r="30" spans="1:4">
      <c r="A30" s="963"/>
      <c r="B30" s="963"/>
      <c r="C30" s="963"/>
      <c r="D30" s="963"/>
    </row>
    <row r="31" spans="1:4">
      <c r="A31" s="963"/>
      <c r="B31" s="963"/>
      <c r="C31" s="963"/>
      <c r="D31" s="963"/>
    </row>
    <row r="32" spans="1:4">
      <c r="A32" s="963"/>
      <c r="B32" s="963"/>
      <c r="C32" s="963"/>
      <c r="D32" s="963"/>
    </row>
    <row r="33" spans="1:4">
      <c r="A33" s="963"/>
      <c r="B33" s="963"/>
      <c r="C33" s="963"/>
      <c r="D33" s="963"/>
    </row>
    <row r="34" spans="1:4">
      <c r="A34" s="963"/>
      <c r="B34" s="963"/>
      <c r="C34" s="963"/>
      <c r="D34" s="963"/>
    </row>
    <row r="35" spans="1:4">
      <c r="A35" s="963"/>
      <c r="B35" s="963"/>
      <c r="C35" s="963"/>
      <c r="D35" s="963"/>
    </row>
    <row r="37" spans="1:4">
      <c r="A37" s="944" t="s">
        <v>726</v>
      </c>
    </row>
  </sheetData>
  <mergeCells count="5">
    <mergeCell ref="B2:C2"/>
    <mergeCell ref="B3:C3"/>
    <mergeCell ref="B4:C4"/>
    <mergeCell ref="B5:C5"/>
    <mergeCell ref="B6:C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E3AA-88FB-481D-9FA7-CCC663772A3A}">
  <sheetPr codeName="Sheet10">
    <tabColor rgb="FFFFFF00"/>
  </sheetPr>
  <dimension ref="A1:AD116"/>
  <sheetViews>
    <sheetView workbookViewId="0">
      <selection activeCell="E37" sqref="E37"/>
    </sheetView>
  </sheetViews>
  <sheetFormatPr baseColWidth="10" defaultColWidth="8.83203125" defaultRowHeight="14"/>
  <cols>
    <col min="1" max="1" width="17.1640625" customWidth="1"/>
    <col min="2" max="2" width="34.1640625" customWidth="1"/>
    <col min="17" max="17" width="12.33203125" customWidth="1"/>
    <col min="20" max="20" width="15.83203125" customWidth="1"/>
    <col min="22" max="22" width="12.5" customWidth="1"/>
  </cols>
  <sheetData>
    <row r="1" spans="1:30" ht="15" thickBot="1">
      <c r="A1" s="202"/>
      <c r="B1" s="202"/>
      <c r="C1" s="202"/>
      <c r="D1" s="202"/>
      <c r="E1" s="202"/>
      <c r="F1" s="202"/>
      <c r="G1" s="202"/>
      <c r="H1" s="202"/>
      <c r="I1" s="202"/>
      <c r="J1" s="202"/>
      <c r="K1" s="202"/>
      <c r="L1" s="202"/>
      <c r="M1" s="202"/>
      <c r="N1" s="202"/>
      <c r="O1" s="202"/>
      <c r="P1" s="202"/>
      <c r="Q1" s="202"/>
      <c r="R1" s="202"/>
      <c r="S1" s="202"/>
      <c r="T1" s="202"/>
      <c r="U1" s="202"/>
      <c r="V1" s="202"/>
      <c r="W1" s="202"/>
      <c r="X1" s="202"/>
      <c r="Y1" s="202"/>
      <c r="Z1" s="202"/>
      <c r="AA1" s="202"/>
      <c r="AB1" s="202"/>
      <c r="AC1" s="202"/>
      <c r="AD1" s="202"/>
    </row>
    <row r="2" spans="1:30" ht="16">
      <c r="A2" s="2512" t="s">
        <v>445</v>
      </c>
      <c r="B2" s="2513"/>
      <c r="C2" s="2513"/>
      <c r="D2" s="2513"/>
      <c r="E2" s="2513"/>
      <c r="F2" s="2513"/>
      <c r="G2" s="2513"/>
      <c r="H2" s="2513"/>
      <c r="I2" s="2513"/>
      <c r="J2" s="2513"/>
      <c r="K2" s="2513"/>
      <c r="L2" s="2513"/>
      <c r="M2" s="2513"/>
      <c r="N2" s="2513"/>
      <c r="O2" s="2513"/>
      <c r="P2" s="2513"/>
      <c r="Q2" s="202"/>
      <c r="R2" s="202"/>
      <c r="S2" s="202"/>
      <c r="T2" s="202"/>
      <c r="U2" s="202"/>
      <c r="V2" s="202"/>
      <c r="W2" s="202"/>
      <c r="X2" s="202"/>
      <c r="Y2" s="202"/>
      <c r="Z2" s="202"/>
      <c r="AA2" s="202"/>
      <c r="AB2" s="202"/>
      <c r="AC2" s="202"/>
      <c r="AD2" s="202"/>
    </row>
    <row r="3" spans="1:30" ht="16">
      <c r="A3" s="2514" t="s">
        <v>446</v>
      </c>
      <c r="B3" s="2515"/>
      <c r="C3" s="2515"/>
      <c r="D3" s="2515"/>
      <c r="E3" s="2515"/>
      <c r="F3" s="2515"/>
      <c r="G3" s="2515"/>
      <c r="H3" s="2515"/>
      <c r="I3" s="2515"/>
      <c r="J3" s="2515"/>
      <c r="K3" s="2515"/>
      <c r="L3" s="2515"/>
      <c r="M3" s="2515"/>
      <c r="N3" s="2515"/>
      <c r="O3" s="2515"/>
      <c r="P3" s="2515"/>
      <c r="Q3" s="44"/>
      <c r="R3" s="202"/>
      <c r="S3" s="202"/>
      <c r="T3" s="202"/>
      <c r="U3" s="202"/>
      <c r="V3" s="202"/>
      <c r="W3" s="202"/>
      <c r="X3" s="202"/>
      <c r="Y3" s="202"/>
      <c r="Z3" s="202"/>
      <c r="AA3" s="202"/>
      <c r="AB3" s="202"/>
      <c r="AC3" s="202"/>
      <c r="AD3" s="202"/>
    </row>
    <row r="4" spans="1:30" ht="51">
      <c r="A4" s="987" t="s">
        <v>1274</v>
      </c>
      <c r="B4" s="362" t="s">
        <v>730</v>
      </c>
      <c r="C4" s="363" t="s">
        <v>47</v>
      </c>
      <c r="D4" s="363" t="s">
        <v>48</v>
      </c>
      <c r="E4" s="363" t="s">
        <v>49</v>
      </c>
      <c r="F4" s="363" t="s">
        <v>38</v>
      </c>
      <c r="G4" s="363" t="s">
        <v>680</v>
      </c>
      <c r="H4" s="363" t="s">
        <v>681</v>
      </c>
      <c r="I4" s="363" t="s">
        <v>682</v>
      </c>
      <c r="J4" s="363" t="s">
        <v>42</v>
      </c>
      <c r="K4" s="363" t="s">
        <v>683</v>
      </c>
      <c r="L4" s="363" t="s">
        <v>44</v>
      </c>
      <c r="M4" s="363" t="s">
        <v>45</v>
      </c>
      <c r="N4" s="363" t="s">
        <v>46</v>
      </c>
      <c r="O4" s="364" t="s">
        <v>268</v>
      </c>
      <c r="P4" s="925" t="s">
        <v>269</v>
      </c>
      <c r="Q4" s="511" t="s">
        <v>1275</v>
      </c>
      <c r="R4" s="202"/>
      <c r="S4" s="202"/>
      <c r="T4" s="202"/>
      <c r="U4" s="202"/>
      <c r="V4" s="202"/>
      <c r="W4" s="202"/>
      <c r="X4" s="202"/>
      <c r="Y4" s="202"/>
      <c r="Z4" s="202"/>
      <c r="AA4" s="202"/>
      <c r="AB4" s="202"/>
      <c r="AC4" s="202"/>
      <c r="AD4" s="202"/>
    </row>
    <row r="5" spans="1:30" ht="16">
      <c r="A5" s="367" t="s">
        <v>29</v>
      </c>
      <c r="B5" s="368" t="s">
        <v>29</v>
      </c>
      <c r="C5" s="368" t="s">
        <v>29</v>
      </c>
      <c r="D5" s="368" t="s">
        <v>29</v>
      </c>
      <c r="E5" s="368" t="s">
        <v>29</v>
      </c>
      <c r="F5" s="368" t="s">
        <v>29</v>
      </c>
      <c r="G5" s="368" t="s">
        <v>29</v>
      </c>
      <c r="H5" s="368" t="s">
        <v>29</v>
      </c>
      <c r="I5" s="368" t="s">
        <v>29</v>
      </c>
      <c r="J5" s="368" t="s">
        <v>29</v>
      </c>
      <c r="K5" s="368" t="s">
        <v>29</v>
      </c>
      <c r="L5" s="368" t="s">
        <v>29</v>
      </c>
      <c r="M5" s="368" t="s">
        <v>29</v>
      </c>
      <c r="N5" s="368" t="s">
        <v>29</v>
      </c>
      <c r="O5" s="368" t="s">
        <v>29</v>
      </c>
      <c r="P5" s="4"/>
      <c r="Q5" s="44"/>
      <c r="R5" s="202"/>
      <c r="S5" s="202"/>
      <c r="T5" s="202"/>
      <c r="U5" s="202"/>
      <c r="V5" s="202"/>
      <c r="W5" s="202"/>
      <c r="X5" s="202"/>
      <c r="Y5" s="202"/>
      <c r="Z5" s="202"/>
      <c r="AA5" s="202"/>
      <c r="AB5" s="202"/>
      <c r="AC5" s="202"/>
      <c r="AD5" s="202"/>
    </row>
    <row r="6" spans="1:30" ht="16">
      <c r="A6" s="369" t="str">
        <f>IF('Step 2. Production Estimate'!D85="","",'Step 2. Production Estimate'!D85)</f>
        <v>901-Guinea</v>
      </c>
      <c r="B6" s="366" t="str">
        <f>IF('Step 2. Production Estimate'!E85="","",'Step 2. Production Estimate'!E85)</f>
        <v/>
      </c>
      <c r="C6" s="985" t="e">
        <f>'Step 2. Production Estimate'!F85/'Step 2. Production Estimate'!$R85</f>
        <v>#DIV/0!</v>
      </c>
      <c r="D6" s="931" t="e">
        <f>'Step 2. Production Estimate'!G85/'Step 2. Production Estimate'!$R85</f>
        <v>#DIV/0!</v>
      </c>
      <c r="E6" s="931" t="e">
        <f>'Step 2. Production Estimate'!H85/'Step 2. Production Estimate'!$R85</f>
        <v>#DIV/0!</v>
      </c>
      <c r="F6" s="931" t="e">
        <f>'Step 2. Production Estimate'!I85/'Step 2. Production Estimate'!$R85</f>
        <v>#DIV/0!</v>
      </c>
      <c r="G6" s="931" t="e">
        <f>'Step 2. Production Estimate'!J85/'Step 2. Production Estimate'!$R85</f>
        <v>#DIV/0!</v>
      </c>
      <c r="H6" s="931" t="e">
        <f>'Step 2. Production Estimate'!K85/'Step 2. Production Estimate'!$R85</f>
        <v>#DIV/0!</v>
      </c>
      <c r="I6" s="931" t="e">
        <f>'Step 2. Production Estimate'!L85/'Step 2. Production Estimate'!$R85</f>
        <v>#DIV/0!</v>
      </c>
      <c r="J6" s="931" t="e">
        <f>'Step 2. Production Estimate'!M85/'Step 2. Production Estimate'!$R85</f>
        <v>#DIV/0!</v>
      </c>
      <c r="K6" s="931" t="e">
        <f>'Step 2. Production Estimate'!N85/'Step 2. Production Estimate'!$R85</f>
        <v>#DIV/0!</v>
      </c>
      <c r="L6" s="931" t="e">
        <f>'Step 2. Production Estimate'!O85/'Step 2. Production Estimate'!$R85</f>
        <v>#DIV/0!</v>
      </c>
      <c r="M6" s="931" t="e">
        <f>'Step 2. Production Estimate'!P85/'Step 2. Production Estimate'!$R85</f>
        <v>#DIV/0!</v>
      </c>
      <c r="N6" s="931" t="e">
        <f>'Step 2. Production Estimate'!Q85/'Step 2. Production Estimate'!$R85</f>
        <v>#DIV/0!</v>
      </c>
      <c r="O6" s="366" t="e">
        <f>VLOOKUP(B6,ForageProductionModel!$B$52:'ForageProductionModel'!$O$76,14,FALSE)</f>
        <v>#N/A</v>
      </c>
      <c r="P6" s="926"/>
      <c r="Q6" s="1666" t="str">
        <f>IF('Step 2. Production Estimate'!R85="","",'Step 2. Production Estimate'!R85)</f>
        <v/>
      </c>
      <c r="AA6" s="202"/>
      <c r="AB6" s="202"/>
      <c r="AC6" s="202"/>
      <c r="AD6" s="202"/>
    </row>
    <row r="7" spans="1:30" ht="16">
      <c r="A7" s="922" t="str">
        <f>IF('Step 2. Production Estimate'!D86="","",'Step 2. Production Estimate'!D86)</f>
        <v/>
      </c>
      <c r="B7" s="924" t="str">
        <f>IF('Step 2. Production Estimate'!E86="","",'Step 2. Production Estimate'!E86)</f>
        <v/>
      </c>
      <c r="C7" s="930" t="e">
        <f>'Step 2. Production Estimate'!F86/'Step 2. Production Estimate'!$R86</f>
        <v>#DIV/0!</v>
      </c>
      <c r="D7" s="930" t="e">
        <f>'Step 2. Production Estimate'!G86/'Step 2. Production Estimate'!$R86</f>
        <v>#DIV/0!</v>
      </c>
      <c r="E7" s="930" t="e">
        <f>'Step 2. Production Estimate'!H86/'Step 2. Production Estimate'!$R86</f>
        <v>#DIV/0!</v>
      </c>
      <c r="F7" s="930" t="e">
        <f>'Step 2. Production Estimate'!I86/'Step 2. Production Estimate'!$R86</f>
        <v>#DIV/0!</v>
      </c>
      <c r="G7" s="930" t="e">
        <f>'Step 2. Production Estimate'!J86/'Step 2. Production Estimate'!$R86</f>
        <v>#DIV/0!</v>
      </c>
      <c r="H7" s="930" t="e">
        <f>'Step 2. Production Estimate'!K86/'Step 2. Production Estimate'!$R86</f>
        <v>#DIV/0!</v>
      </c>
      <c r="I7" s="930" t="e">
        <f>'Step 2. Production Estimate'!L86/'Step 2. Production Estimate'!$R86</f>
        <v>#DIV/0!</v>
      </c>
      <c r="J7" s="930" t="e">
        <f>'Step 2. Production Estimate'!M86/'Step 2. Production Estimate'!$R86</f>
        <v>#DIV/0!</v>
      </c>
      <c r="K7" s="930" t="e">
        <f>'Step 2. Production Estimate'!N86/'Step 2. Production Estimate'!$R86</f>
        <v>#DIV/0!</v>
      </c>
      <c r="L7" s="930" t="e">
        <f>'Step 2. Production Estimate'!O86/'Step 2. Production Estimate'!$R86</f>
        <v>#DIV/0!</v>
      </c>
      <c r="M7" s="930" t="e">
        <f>'Step 2. Production Estimate'!P86/'Step 2. Production Estimate'!$R86</f>
        <v>#DIV/0!</v>
      </c>
      <c r="N7" s="930" t="e">
        <f>'Step 2. Production Estimate'!Q86/'Step 2. Production Estimate'!$R86</f>
        <v>#DIV/0!</v>
      </c>
      <c r="O7" s="924" t="e">
        <f>VLOOKUP(B7,ForageProductionModel!$B$52:'ForageProductionModel'!$O$76,14,FALSE)</f>
        <v>#N/A</v>
      </c>
      <c r="P7" s="927"/>
      <c r="Q7" s="1665" t="str">
        <f>IF('Step 2. Production Estimate'!R86="","",'Step 2. Production Estimate'!R86)</f>
        <v/>
      </c>
      <c r="R7" s="4"/>
      <c r="S7" t="s">
        <v>2650</v>
      </c>
      <c r="T7" s="1150" t="s">
        <v>2501</v>
      </c>
      <c r="U7" s="1150" t="s">
        <v>2651</v>
      </c>
      <c r="V7" s="1060" t="str">
        <f>CONCATENATE("",W7," - ",X7," days")</f>
        <v>21 - 40 days</v>
      </c>
      <c r="W7" s="1060">
        <v>21</v>
      </c>
      <c r="X7" s="1060">
        <v>40</v>
      </c>
    </row>
    <row r="8" spans="1:30" ht="16">
      <c r="A8" s="369" t="str">
        <f>IF('Step 2. Production Estimate'!D87="","",'Step 2. Production Estimate'!D87)</f>
        <v/>
      </c>
      <c r="B8" s="366" t="str">
        <f>IF('Step 2. Production Estimate'!E87="","",'Step 2. Production Estimate'!E87)</f>
        <v/>
      </c>
      <c r="C8" s="931" t="e">
        <f>'Step 2. Production Estimate'!F87/'Step 2. Production Estimate'!$R87</f>
        <v>#DIV/0!</v>
      </c>
      <c r="D8" s="931" t="e">
        <f>'Step 2. Production Estimate'!G87/'Step 2. Production Estimate'!$R87</f>
        <v>#DIV/0!</v>
      </c>
      <c r="E8" s="931" t="e">
        <f>'Step 2. Production Estimate'!H87/'Step 2. Production Estimate'!$R87</f>
        <v>#DIV/0!</v>
      </c>
      <c r="F8" s="931" t="e">
        <f>'Step 2. Production Estimate'!I87/'Step 2. Production Estimate'!$R87</f>
        <v>#DIV/0!</v>
      </c>
      <c r="G8" s="931" t="e">
        <f>'Step 2. Production Estimate'!J87/'Step 2. Production Estimate'!$R87</f>
        <v>#DIV/0!</v>
      </c>
      <c r="H8" s="931" t="e">
        <f>'Step 2. Production Estimate'!K87/'Step 2. Production Estimate'!$R87</f>
        <v>#DIV/0!</v>
      </c>
      <c r="I8" s="931" t="e">
        <f>'Step 2. Production Estimate'!L87/'Step 2. Production Estimate'!$R87</f>
        <v>#DIV/0!</v>
      </c>
      <c r="J8" s="931" t="e">
        <f>'Step 2. Production Estimate'!M87/'Step 2. Production Estimate'!$R87</f>
        <v>#DIV/0!</v>
      </c>
      <c r="K8" s="931" t="e">
        <f>'Step 2. Production Estimate'!N87/'Step 2. Production Estimate'!$R87</f>
        <v>#DIV/0!</v>
      </c>
      <c r="L8" s="931" t="e">
        <f>'Step 2. Production Estimate'!O87/'Step 2. Production Estimate'!$R87</f>
        <v>#DIV/0!</v>
      </c>
      <c r="M8" s="931" t="e">
        <f>'Step 2. Production Estimate'!P87/'Step 2. Production Estimate'!$R87</f>
        <v>#DIV/0!</v>
      </c>
      <c r="N8" s="931" t="e">
        <f>'Step 2. Production Estimate'!Q87/'Step 2. Production Estimate'!$R87</f>
        <v>#DIV/0!</v>
      </c>
      <c r="O8" s="366" t="e">
        <f>VLOOKUP(B8,ForageProductionModel!$B$52:'ForageProductionModel'!$O$76,14,FALSE)</f>
        <v>#N/A</v>
      </c>
      <c r="P8" s="926"/>
      <c r="Q8" s="1666" t="str">
        <f>IF('Step 2. Production Estimate'!R87="","",'Step 2. Production Estimate'!R87)</f>
        <v/>
      </c>
      <c r="R8" s="44"/>
      <c r="S8" s="202"/>
      <c r="T8" s="1150" t="s">
        <v>2512</v>
      </c>
      <c r="U8" s="1150" t="s">
        <v>2652</v>
      </c>
      <c r="V8" s="1060" t="str">
        <f t="shared" ref="V8:V27" si="0">CONCATENATE("",W8," - ",X8," days")</f>
        <v>21 - 50 days</v>
      </c>
      <c r="W8" s="1060">
        <v>21</v>
      </c>
      <c r="X8" s="1060">
        <v>50</v>
      </c>
      <c r="Y8" s="202"/>
      <c r="Z8" s="202"/>
      <c r="AA8" s="202"/>
      <c r="AB8" s="202"/>
      <c r="AC8" s="202"/>
      <c r="AD8" s="202"/>
    </row>
    <row r="9" spans="1:30" ht="16">
      <c r="A9" s="922" t="str">
        <f>IF('Step 2. Production Estimate'!D88="","",'Step 2. Production Estimate'!D88)</f>
        <v/>
      </c>
      <c r="B9" s="924" t="str">
        <f>IF('Step 2. Production Estimate'!E88="","",'Step 2. Production Estimate'!E88)</f>
        <v/>
      </c>
      <c r="C9" s="930" t="e">
        <f>'Step 2. Production Estimate'!F88/'Step 2. Production Estimate'!$R88</f>
        <v>#DIV/0!</v>
      </c>
      <c r="D9" s="930" t="e">
        <f>'Step 2. Production Estimate'!G88/'Step 2. Production Estimate'!$R88</f>
        <v>#DIV/0!</v>
      </c>
      <c r="E9" s="930" t="e">
        <f>'Step 2. Production Estimate'!H88/'Step 2. Production Estimate'!$R88</f>
        <v>#DIV/0!</v>
      </c>
      <c r="F9" s="930" t="e">
        <f>'Step 2. Production Estimate'!I88/'Step 2. Production Estimate'!$R88</f>
        <v>#DIV/0!</v>
      </c>
      <c r="G9" s="930" t="e">
        <f>'Step 2. Production Estimate'!J88/'Step 2. Production Estimate'!$R88</f>
        <v>#DIV/0!</v>
      </c>
      <c r="H9" s="930" t="e">
        <f>'Step 2. Production Estimate'!K88/'Step 2. Production Estimate'!$R88</f>
        <v>#DIV/0!</v>
      </c>
      <c r="I9" s="930" t="e">
        <f>'Step 2. Production Estimate'!L88/'Step 2. Production Estimate'!$R88</f>
        <v>#DIV/0!</v>
      </c>
      <c r="J9" s="930" t="e">
        <f>'Step 2. Production Estimate'!M88/'Step 2. Production Estimate'!$R88</f>
        <v>#DIV/0!</v>
      </c>
      <c r="K9" s="930" t="e">
        <f>'Step 2. Production Estimate'!N88/'Step 2. Production Estimate'!$R88</f>
        <v>#DIV/0!</v>
      </c>
      <c r="L9" s="930" t="e">
        <f>'Step 2. Production Estimate'!O88/'Step 2. Production Estimate'!$R88</f>
        <v>#DIV/0!</v>
      </c>
      <c r="M9" s="930" t="e">
        <f>'Step 2. Production Estimate'!P88/'Step 2. Production Estimate'!$R88</f>
        <v>#DIV/0!</v>
      </c>
      <c r="N9" s="930" t="e">
        <f>'Step 2. Production Estimate'!Q88/'Step 2. Production Estimate'!$R88</f>
        <v>#DIV/0!</v>
      </c>
      <c r="O9" s="924" t="e">
        <f>VLOOKUP(B9,ForageProductionModel!$B$52:'ForageProductionModel'!$O$76,14,FALSE)</f>
        <v>#N/A</v>
      </c>
      <c r="P9" s="927"/>
      <c r="Q9" s="1665" t="str">
        <f>IF('Step 2. Production Estimate'!R88="","",'Step 2. Production Estimate'!R88)</f>
        <v/>
      </c>
      <c r="R9" s="4"/>
      <c r="T9" s="1150" t="s">
        <v>2546</v>
      </c>
      <c r="U9" s="1150" t="s">
        <v>2653</v>
      </c>
      <c r="V9" s="1060" t="str">
        <f t="shared" si="0"/>
        <v>45 - 90 days</v>
      </c>
      <c r="W9" s="1060">
        <v>45</v>
      </c>
      <c r="X9" s="1060">
        <v>90</v>
      </c>
    </row>
    <row r="10" spans="1:30" ht="16">
      <c r="A10" s="369" t="str">
        <f>IF('Step 2. Production Estimate'!D89="","",'Step 2. Production Estimate'!D89)</f>
        <v/>
      </c>
      <c r="B10" s="366" t="str">
        <f>IF('Step 2. Production Estimate'!E89="","",'Step 2. Production Estimate'!E89)</f>
        <v/>
      </c>
      <c r="C10" s="931" t="e">
        <f>'Step 2. Production Estimate'!F89/'Step 2. Production Estimate'!$R89</f>
        <v>#DIV/0!</v>
      </c>
      <c r="D10" s="931" t="e">
        <f>'Step 2. Production Estimate'!G89/'Step 2. Production Estimate'!$R89</f>
        <v>#DIV/0!</v>
      </c>
      <c r="E10" s="931" t="e">
        <f>'Step 2. Production Estimate'!H89/'Step 2. Production Estimate'!$R89</f>
        <v>#DIV/0!</v>
      </c>
      <c r="F10" s="931" t="e">
        <f>'Step 2. Production Estimate'!I89/'Step 2. Production Estimate'!$R89</f>
        <v>#DIV/0!</v>
      </c>
      <c r="G10" s="931" t="e">
        <f>'Step 2. Production Estimate'!J89/'Step 2. Production Estimate'!$R89</f>
        <v>#DIV/0!</v>
      </c>
      <c r="H10" s="931" t="e">
        <f>'Step 2. Production Estimate'!K89/'Step 2. Production Estimate'!$R89</f>
        <v>#DIV/0!</v>
      </c>
      <c r="I10" s="931" t="e">
        <f>'Step 2. Production Estimate'!L89/'Step 2. Production Estimate'!$R89</f>
        <v>#DIV/0!</v>
      </c>
      <c r="J10" s="931" t="e">
        <f>'Step 2. Production Estimate'!M89/'Step 2. Production Estimate'!$R89</f>
        <v>#DIV/0!</v>
      </c>
      <c r="K10" s="931" t="e">
        <f>'Step 2. Production Estimate'!N89/'Step 2. Production Estimate'!$R89</f>
        <v>#DIV/0!</v>
      </c>
      <c r="L10" s="931" t="e">
        <f>'Step 2. Production Estimate'!O89/'Step 2. Production Estimate'!$R89</f>
        <v>#DIV/0!</v>
      </c>
      <c r="M10" s="931" t="e">
        <f>'Step 2. Production Estimate'!P89/'Step 2. Production Estimate'!$R89</f>
        <v>#DIV/0!</v>
      </c>
      <c r="N10" s="931" t="e">
        <f>'Step 2. Production Estimate'!Q89/'Step 2. Production Estimate'!$R89</f>
        <v>#DIV/0!</v>
      </c>
      <c r="O10" s="366" t="e">
        <f>VLOOKUP(B10,ForageProductionModel!$B$52:'ForageProductionModel'!$O$76,14,FALSE)</f>
        <v>#N/A</v>
      </c>
      <c r="P10" s="928"/>
      <c r="Q10" s="1666" t="str">
        <f>IF('Step 2. Production Estimate'!R89="","",'Step 2. Production Estimate'!R89)</f>
        <v/>
      </c>
      <c r="R10" s="4"/>
      <c r="T10" s="1150" t="s">
        <v>2466</v>
      </c>
      <c r="U10" s="1296" t="s">
        <v>2654</v>
      </c>
      <c r="V10" s="1060" t="str">
        <f t="shared" si="0"/>
        <v>42 - 56 days</v>
      </c>
      <c r="W10" s="1060">
        <v>42</v>
      </c>
      <c r="X10" s="1060">
        <v>56</v>
      </c>
    </row>
    <row r="11" spans="1:30" ht="16">
      <c r="A11" s="922" t="str">
        <f>IF('Step 2. Production Estimate'!D90="","",'Step 2. Production Estimate'!D90)</f>
        <v/>
      </c>
      <c r="B11" s="924" t="str">
        <f>IF('Step 2. Production Estimate'!E90="","",'Step 2. Production Estimate'!E90)</f>
        <v/>
      </c>
      <c r="C11" s="930" t="e">
        <f>'Step 2. Production Estimate'!F90/'Step 2. Production Estimate'!$R90</f>
        <v>#DIV/0!</v>
      </c>
      <c r="D11" s="930" t="e">
        <f>'Step 2. Production Estimate'!G90/'Step 2. Production Estimate'!$R90</f>
        <v>#DIV/0!</v>
      </c>
      <c r="E11" s="930" t="e">
        <f>'Step 2. Production Estimate'!H90/'Step 2. Production Estimate'!$R90</f>
        <v>#DIV/0!</v>
      </c>
      <c r="F11" s="930" t="e">
        <f>'Step 2. Production Estimate'!I90/'Step 2. Production Estimate'!$R90</f>
        <v>#DIV/0!</v>
      </c>
      <c r="G11" s="930" t="e">
        <f>'Step 2. Production Estimate'!J90/'Step 2. Production Estimate'!$R90</f>
        <v>#DIV/0!</v>
      </c>
      <c r="H11" s="930" t="e">
        <f>'Step 2. Production Estimate'!K90/'Step 2. Production Estimate'!$R90</f>
        <v>#DIV/0!</v>
      </c>
      <c r="I11" s="930" t="e">
        <f>'Step 2. Production Estimate'!L90/'Step 2. Production Estimate'!$R90</f>
        <v>#DIV/0!</v>
      </c>
      <c r="J11" s="930" t="e">
        <f>'Step 2. Production Estimate'!M90/'Step 2. Production Estimate'!$R90</f>
        <v>#DIV/0!</v>
      </c>
      <c r="K11" s="930" t="e">
        <f>'Step 2. Production Estimate'!N90/'Step 2. Production Estimate'!$R90</f>
        <v>#DIV/0!</v>
      </c>
      <c r="L11" s="930" t="e">
        <f>'Step 2. Production Estimate'!O90/'Step 2. Production Estimate'!$R90</f>
        <v>#DIV/0!</v>
      </c>
      <c r="M11" s="930" t="e">
        <f>'Step 2. Production Estimate'!P90/'Step 2. Production Estimate'!$R90</f>
        <v>#DIV/0!</v>
      </c>
      <c r="N11" s="930" t="e">
        <f>'Step 2. Production Estimate'!Q90/'Step 2. Production Estimate'!$R90</f>
        <v>#DIV/0!</v>
      </c>
      <c r="O11" s="924" t="e">
        <f>VLOOKUP(B11,ForageProductionModel!$B$52:'ForageProductionModel'!$O$76,14,FALSE)</f>
        <v>#N/A</v>
      </c>
      <c r="P11" s="929"/>
      <c r="Q11" s="1665" t="str">
        <f>IF('Step 2. Production Estimate'!R90="","",'Step 2. Production Estimate'!R90)</f>
        <v/>
      </c>
      <c r="R11" s="4"/>
      <c r="T11" s="1150" t="s">
        <v>2504</v>
      </c>
      <c r="U11" s="1150" t="s">
        <v>2653</v>
      </c>
      <c r="V11" s="1060" t="str">
        <f t="shared" si="0"/>
        <v>30 - 60 days</v>
      </c>
      <c r="W11" s="1060">
        <v>30</v>
      </c>
      <c r="X11" s="1060">
        <v>60</v>
      </c>
    </row>
    <row r="12" spans="1:30" ht="16">
      <c r="A12" s="369" t="str">
        <f>IF('Step 2. Production Estimate'!D91="","",'Step 2. Production Estimate'!D91)</f>
        <v/>
      </c>
      <c r="B12" s="366" t="str">
        <f>IF('Step 2. Production Estimate'!E91="","",'Step 2. Production Estimate'!E91)</f>
        <v/>
      </c>
      <c r="C12" s="931" t="e">
        <f>'Step 2. Production Estimate'!F91/'Step 2. Production Estimate'!$R91</f>
        <v>#DIV/0!</v>
      </c>
      <c r="D12" s="931" t="e">
        <f>'Step 2. Production Estimate'!G91/'Step 2. Production Estimate'!$R91</f>
        <v>#DIV/0!</v>
      </c>
      <c r="E12" s="931" t="e">
        <f>'Step 2. Production Estimate'!H91/'Step 2. Production Estimate'!$R91</f>
        <v>#DIV/0!</v>
      </c>
      <c r="F12" s="931" t="e">
        <f>'Step 2. Production Estimate'!I91/'Step 2. Production Estimate'!$R91</f>
        <v>#DIV/0!</v>
      </c>
      <c r="G12" s="931" t="e">
        <f>'Step 2. Production Estimate'!J91/'Step 2. Production Estimate'!$R91</f>
        <v>#DIV/0!</v>
      </c>
      <c r="H12" s="931" t="e">
        <f>'Step 2. Production Estimate'!K91/'Step 2. Production Estimate'!$R91</f>
        <v>#DIV/0!</v>
      </c>
      <c r="I12" s="931" t="e">
        <f>'Step 2. Production Estimate'!L91/'Step 2. Production Estimate'!$R91</f>
        <v>#DIV/0!</v>
      </c>
      <c r="J12" s="931" t="e">
        <f>'Step 2. Production Estimate'!M91/'Step 2. Production Estimate'!$R91</f>
        <v>#DIV/0!</v>
      </c>
      <c r="K12" s="931" t="e">
        <f>'Step 2. Production Estimate'!N91/'Step 2. Production Estimate'!$R91</f>
        <v>#DIV/0!</v>
      </c>
      <c r="L12" s="931" t="e">
        <f>'Step 2. Production Estimate'!O91/'Step 2. Production Estimate'!$R91</f>
        <v>#DIV/0!</v>
      </c>
      <c r="M12" s="931" t="e">
        <f>'Step 2. Production Estimate'!P91/'Step 2. Production Estimate'!$R91</f>
        <v>#DIV/0!</v>
      </c>
      <c r="N12" s="931" t="e">
        <f>'Step 2. Production Estimate'!Q91/'Step 2. Production Estimate'!$R91</f>
        <v>#DIV/0!</v>
      </c>
      <c r="O12" s="366" t="e">
        <f>VLOOKUP(B12,ForageProductionModel!$B$52:'ForageProductionModel'!$O$76,14,FALSE)</f>
        <v>#N/A</v>
      </c>
      <c r="P12" s="926"/>
      <c r="Q12" s="1666" t="str">
        <f>IF('Step 2. Production Estimate'!R91="","",'Step 2. Production Estimate'!R91)</f>
        <v/>
      </c>
      <c r="R12" s="44"/>
      <c r="S12" s="202" t="s">
        <v>2650</v>
      </c>
      <c r="T12" s="1150" t="s">
        <v>2655</v>
      </c>
      <c r="U12" s="1150" t="s">
        <v>2656</v>
      </c>
      <c r="V12" s="1060" t="str">
        <f t="shared" si="0"/>
        <v>28 - 49 days</v>
      </c>
      <c r="W12" s="1060">
        <v>28</v>
      </c>
      <c r="X12" s="1060">
        <v>49</v>
      </c>
      <c r="Y12" s="202"/>
      <c r="Z12" s="202"/>
      <c r="AA12" s="202"/>
      <c r="AB12" s="202"/>
      <c r="AC12" s="202"/>
      <c r="AD12" s="202"/>
    </row>
    <row r="13" spans="1:30" ht="16">
      <c r="A13" s="922" t="str">
        <f>IF('Step 2. Production Estimate'!D92="","",'Step 2. Production Estimate'!D92)</f>
        <v/>
      </c>
      <c r="B13" s="924" t="str">
        <f>IF('Step 2. Production Estimate'!E92="","",'Step 2. Production Estimate'!E92)</f>
        <v/>
      </c>
      <c r="C13" s="930" t="e">
        <f>'Step 2. Production Estimate'!F92/'Step 2. Production Estimate'!$R92</f>
        <v>#DIV/0!</v>
      </c>
      <c r="D13" s="930" t="e">
        <f>'Step 2. Production Estimate'!G92/'Step 2. Production Estimate'!$R92</f>
        <v>#DIV/0!</v>
      </c>
      <c r="E13" s="930" t="e">
        <f>'Step 2. Production Estimate'!H92/'Step 2. Production Estimate'!$R92</f>
        <v>#DIV/0!</v>
      </c>
      <c r="F13" s="930" t="e">
        <f>'Step 2. Production Estimate'!I92/'Step 2. Production Estimate'!$R92</f>
        <v>#DIV/0!</v>
      </c>
      <c r="G13" s="930" t="e">
        <f>'Step 2. Production Estimate'!J92/'Step 2. Production Estimate'!$R92</f>
        <v>#DIV/0!</v>
      </c>
      <c r="H13" s="930" t="e">
        <f>'Step 2. Production Estimate'!K92/'Step 2. Production Estimate'!$R92</f>
        <v>#DIV/0!</v>
      </c>
      <c r="I13" s="930" t="e">
        <f>'Step 2. Production Estimate'!L92/'Step 2. Production Estimate'!$R92</f>
        <v>#DIV/0!</v>
      </c>
      <c r="J13" s="930" t="e">
        <f>'Step 2. Production Estimate'!M92/'Step 2. Production Estimate'!$R92</f>
        <v>#DIV/0!</v>
      </c>
      <c r="K13" s="930" t="e">
        <f>'Step 2. Production Estimate'!N92/'Step 2. Production Estimate'!$R92</f>
        <v>#DIV/0!</v>
      </c>
      <c r="L13" s="930" t="e">
        <f>'Step 2. Production Estimate'!O92/'Step 2. Production Estimate'!$R92</f>
        <v>#DIV/0!</v>
      </c>
      <c r="M13" s="930" t="e">
        <f>'Step 2. Production Estimate'!P92/'Step 2. Production Estimate'!$R92</f>
        <v>#DIV/0!</v>
      </c>
      <c r="N13" s="930" t="e">
        <f>'Step 2. Production Estimate'!Q92/'Step 2. Production Estimate'!$R92</f>
        <v>#DIV/0!</v>
      </c>
      <c r="O13" s="924" t="e">
        <f>VLOOKUP(B13,ForageProductionModel!$B$52:'ForageProductionModel'!$O$76,14,FALSE)</f>
        <v>#N/A</v>
      </c>
      <c r="P13" s="929"/>
      <c r="Q13" s="1665" t="str">
        <f>IF('Step 2. Production Estimate'!R92="","",'Step 2. Production Estimate'!R92)</f>
        <v/>
      </c>
      <c r="R13" s="4"/>
      <c r="T13" s="1150" t="s">
        <v>2535</v>
      </c>
      <c r="U13" s="1720" t="s">
        <v>2652</v>
      </c>
      <c r="V13" s="1060" t="str">
        <f t="shared" si="0"/>
        <v>28 - 49 days</v>
      </c>
      <c r="W13" s="1060">
        <v>28</v>
      </c>
      <c r="X13" s="1060">
        <v>49</v>
      </c>
    </row>
    <row r="14" spans="1:30" ht="16">
      <c r="A14" s="369" t="str">
        <f>IF('Step 2. Production Estimate'!D93="","",'Step 2. Production Estimate'!D93)</f>
        <v/>
      </c>
      <c r="B14" s="366" t="str">
        <f>IF('Step 2. Production Estimate'!E93="","",'Step 2. Production Estimate'!E93)</f>
        <v/>
      </c>
      <c r="C14" s="931" t="e">
        <f>'Step 2. Production Estimate'!F93/'Step 2. Production Estimate'!$R93</f>
        <v>#DIV/0!</v>
      </c>
      <c r="D14" s="931" t="e">
        <f>'Step 2. Production Estimate'!G93/'Step 2. Production Estimate'!$R93</f>
        <v>#DIV/0!</v>
      </c>
      <c r="E14" s="931" t="e">
        <f>'Step 2. Production Estimate'!H93/'Step 2. Production Estimate'!$R93</f>
        <v>#DIV/0!</v>
      </c>
      <c r="F14" s="931" t="e">
        <f>'Step 2. Production Estimate'!I93/'Step 2. Production Estimate'!$R93</f>
        <v>#DIV/0!</v>
      </c>
      <c r="G14" s="931" t="e">
        <f>'Step 2. Production Estimate'!J93/'Step 2. Production Estimate'!$R93</f>
        <v>#DIV/0!</v>
      </c>
      <c r="H14" s="931" t="e">
        <f>'Step 2. Production Estimate'!K93/'Step 2. Production Estimate'!$R93</f>
        <v>#DIV/0!</v>
      </c>
      <c r="I14" s="931" t="e">
        <f>'Step 2. Production Estimate'!L93/'Step 2. Production Estimate'!$R93</f>
        <v>#DIV/0!</v>
      </c>
      <c r="J14" s="931" t="e">
        <f>'Step 2. Production Estimate'!M93/'Step 2. Production Estimate'!$R93</f>
        <v>#DIV/0!</v>
      </c>
      <c r="K14" s="931" t="e">
        <f>'Step 2. Production Estimate'!N93/'Step 2. Production Estimate'!$R93</f>
        <v>#DIV/0!</v>
      </c>
      <c r="L14" s="931" t="e">
        <f>'Step 2. Production Estimate'!O93/'Step 2. Production Estimate'!$R93</f>
        <v>#DIV/0!</v>
      </c>
      <c r="M14" s="931" t="e">
        <f>'Step 2. Production Estimate'!P93/'Step 2. Production Estimate'!$R93</f>
        <v>#DIV/0!</v>
      </c>
      <c r="N14" s="931" t="e">
        <f>'Step 2. Production Estimate'!Q93/'Step 2. Production Estimate'!$R93</f>
        <v>#DIV/0!</v>
      </c>
      <c r="O14" s="366" t="e">
        <f>VLOOKUP(B14,ForageProductionModel!$B$52:'ForageProductionModel'!$O$76,14,FALSE)</f>
        <v>#N/A</v>
      </c>
      <c r="P14" s="926"/>
      <c r="Q14" s="1666" t="str">
        <f>IF('Step 2. Production Estimate'!R93="","",'Step 2. Production Estimate'!R93)</f>
        <v/>
      </c>
      <c r="R14" s="44"/>
      <c r="S14" s="202"/>
      <c r="T14" s="1150" t="s">
        <v>2470</v>
      </c>
      <c r="U14" s="1150" t="s">
        <v>2657</v>
      </c>
      <c r="V14" s="1060" t="str">
        <f t="shared" si="0"/>
        <v>30 - 60 days</v>
      </c>
      <c r="W14" s="1060">
        <v>30</v>
      </c>
      <c r="X14" s="1060">
        <v>60</v>
      </c>
      <c r="Y14" s="202"/>
      <c r="Z14" s="202"/>
      <c r="AA14" s="202"/>
      <c r="AB14" s="202"/>
      <c r="AC14" s="202"/>
      <c r="AD14" s="202"/>
    </row>
    <row r="15" spans="1:30" ht="16">
      <c r="A15" s="922" t="str">
        <f>IF('Step 2. Production Estimate'!D94="","",'Step 2. Production Estimate'!D94)</f>
        <v/>
      </c>
      <c r="B15" s="924" t="str">
        <f>IF('Step 2. Production Estimate'!E94="","",'Step 2. Production Estimate'!E94)</f>
        <v/>
      </c>
      <c r="C15" s="930" t="e">
        <f>'Step 2. Production Estimate'!F94/'Step 2. Production Estimate'!$R94</f>
        <v>#DIV/0!</v>
      </c>
      <c r="D15" s="930" t="e">
        <f>'Step 2. Production Estimate'!G94/'Step 2. Production Estimate'!$R94</f>
        <v>#DIV/0!</v>
      </c>
      <c r="E15" s="930" t="e">
        <f>'Step 2. Production Estimate'!H94/'Step 2. Production Estimate'!$R94</f>
        <v>#DIV/0!</v>
      </c>
      <c r="F15" s="930" t="e">
        <f>'Step 2. Production Estimate'!I94/'Step 2. Production Estimate'!$R94</f>
        <v>#DIV/0!</v>
      </c>
      <c r="G15" s="930" t="e">
        <f>'Step 2. Production Estimate'!J94/'Step 2. Production Estimate'!$R94</f>
        <v>#DIV/0!</v>
      </c>
      <c r="H15" s="930" t="e">
        <f>'Step 2. Production Estimate'!K94/'Step 2. Production Estimate'!$R94</f>
        <v>#DIV/0!</v>
      </c>
      <c r="I15" s="930" t="e">
        <f>'Step 2. Production Estimate'!L94/'Step 2. Production Estimate'!$R94</f>
        <v>#DIV/0!</v>
      </c>
      <c r="J15" s="930" t="e">
        <f>'Step 2. Production Estimate'!M94/'Step 2. Production Estimate'!$R94</f>
        <v>#DIV/0!</v>
      </c>
      <c r="K15" s="930" t="e">
        <f>'Step 2. Production Estimate'!N94/'Step 2. Production Estimate'!$R94</f>
        <v>#DIV/0!</v>
      </c>
      <c r="L15" s="930" t="e">
        <f>'Step 2. Production Estimate'!O94/'Step 2. Production Estimate'!$R94</f>
        <v>#DIV/0!</v>
      </c>
      <c r="M15" s="930" t="e">
        <f>'Step 2. Production Estimate'!P94/'Step 2. Production Estimate'!$R94</f>
        <v>#DIV/0!</v>
      </c>
      <c r="N15" s="930" t="e">
        <f>'Step 2. Production Estimate'!Q94/'Step 2. Production Estimate'!$R94</f>
        <v>#DIV/0!</v>
      </c>
      <c r="O15" s="924" t="e">
        <f>VLOOKUP(B15,ForageProductionModel!$B$52:'ForageProductionModel'!$O$76,14,FALSE)</f>
        <v>#N/A</v>
      </c>
      <c r="P15" s="929"/>
      <c r="Q15" s="1665" t="str">
        <f>IF('Step 2. Production Estimate'!R94="","",'Step 2. Production Estimate'!R94)</f>
        <v/>
      </c>
      <c r="R15" s="4"/>
      <c r="T15" s="1150" t="s">
        <v>2476</v>
      </c>
      <c r="U15" s="1296" t="s">
        <v>2658</v>
      </c>
      <c r="V15" s="1060" t="str">
        <f t="shared" si="0"/>
        <v>30 - 60 days</v>
      </c>
      <c r="W15" s="1060">
        <v>30</v>
      </c>
      <c r="X15" s="1060">
        <v>60</v>
      </c>
    </row>
    <row r="16" spans="1:30" ht="16">
      <c r="A16" s="369" t="str">
        <f>IF('Step 2. Production Estimate'!D95="","",'Step 2. Production Estimate'!D95)</f>
        <v/>
      </c>
      <c r="B16" s="366" t="str">
        <f>IF('Step 2. Production Estimate'!E95="","",'Step 2. Production Estimate'!E95)</f>
        <v/>
      </c>
      <c r="C16" s="931" t="e">
        <f>'Step 2. Production Estimate'!F95/'Step 2. Production Estimate'!$R95</f>
        <v>#DIV/0!</v>
      </c>
      <c r="D16" s="931" t="e">
        <f>'Step 2. Production Estimate'!G95/'Step 2. Production Estimate'!$R95</f>
        <v>#DIV/0!</v>
      </c>
      <c r="E16" s="931" t="e">
        <f>'Step 2. Production Estimate'!H95/'Step 2. Production Estimate'!$R95</f>
        <v>#DIV/0!</v>
      </c>
      <c r="F16" s="931" t="e">
        <f>'Step 2. Production Estimate'!I95/'Step 2. Production Estimate'!$R95</f>
        <v>#DIV/0!</v>
      </c>
      <c r="G16" s="931" t="e">
        <f>'Step 2. Production Estimate'!J95/'Step 2. Production Estimate'!$R95</f>
        <v>#DIV/0!</v>
      </c>
      <c r="H16" s="931" t="e">
        <f>'Step 2. Production Estimate'!K95/'Step 2. Production Estimate'!$R95</f>
        <v>#DIV/0!</v>
      </c>
      <c r="I16" s="931" t="e">
        <f>'Step 2. Production Estimate'!L95/'Step 2. Production Estimate'!$R95</f>
        <v>#DIV/0!</v>
      </c>
      <c r="J16" s="931" t="e">
        <f>'Step 2. Production Estimate'!M95/'Step 2. Production Estimate'!$R95</f>
        <v>#DIV/0!</v>
      </c>
      <c r="K16" s="931" t="e">
        <f>'Step 2. Production Estimate'!N95/'Step 2. Production Estimate'!$R95</f>
        <v>#DIV/0!</v>
      </c>
      <c r="L16" s="931" t="e">
        <f>'Step 2. Production Estimate'!O95/'Step 2. Production Estimate'!$R95</f>
        <v>#DIV/0!</v>
      </c>
      <c r="M16" s="931" t="e">
        <f>'Step 2. Production Estimate'!P95/'Step 2. Production Estimate'!$R95</f>
        <v>#DIV/0!</v>
      </c>
      <c r="N16" s="931" t="e">
        <f>'Step 2. Production Estimate'!Q95/'Step 2. Production Estimate'!$R95</f>
        <v>#DIV/0!</v>
      </c>
      <c r="O16" s="366" t="e">
        <f>VLOOKUP(B16,ForageProductionModel!$B$52:'ForageProductionModel'!$O$76,14,FALSE)</f>
        <v>#N/A</v>
      </c>
      <c r="P16" s="926"/>
      <c r="Q16" s="1666" t="str">
        <f>IF('Step 2. Production Estimate'!R95="","",'Step 2. Production Estimate'!R95)</f>
        <v/>
      </c>
      <c r="R16" s="44"/>
      <c r="S16" s="202"/>
      <c r="T16" s="1150" t="s">
        <v>2479</v>
      </c>
      <c r="U16" s="1296" t="s">
        <v>2659</v>
      </c>
      <c r="V16" s="1060" t="str">
        <f t="shared" si="0"/>
        <v>30 - 60 days</v>
      </c>
      <c r="W16" s="1060">
        <v>30</v>
      </c>
      <c r="X16" s="1060">
        <v>60</v>
      </c>
      <c r="Y16" s="202"/>
      <c r="Z16" s="202"/>
      <c r="AA16" s="202"/>
      <c r="AB16" s="202"/>
      <c r="AC16" s="202"/>
      <c r="AD16" s="202"/>
    </row>
    <row r="17" spans="1:30" ht="16">
      <c r="A17" s="922" t="str">
        <f>IF('Step 2. Production Estimate'!D96="","",'Step 2. Production Estimate'!D96)</f>
        <v/>
      </c>
      <c r="B17" s="924" t="str">
        <f>IF('Step 2. Production Estimate'!E96="","",'Step 2. Production Estimate'!E96)</f>
        <v/>
      </c>
      <c r="C17" s="930" t="e">
        <f>'Step 2. Production Estimate'!F96/'Step 2. Production Estimate'!$R96</f>
        <v>#DIV/0!</v>
      </c>
      <c r="D17" s="930" t="e">
        <f>'Step 2. Production Estimate'!G96/'Step 2. Production Estimate'!$R96</f>
        <v>#DIV/0!</v>
      </c>
      <c r="E17" s="930" t="e">
        <f>'Step 2. Production Estimate'!H96/'Step 2. Production Estimate'!$R96</f>
        <v>#DIV/0!</v>
      </c>
      <c r="F17" s="930" t="e">
        <f>'Step 2. Production Estimate'!I96/'Step 2. Production Estimate'!$R96</f>
        <v>#DIV/0!</v>
      </c>
      <c r="G17" s="930" t="e">
        <f>'Step 2. Production Estimate'!J96/'Step 2. Production Estimate'!$R96</f>
        <v>#DIV/0!</v>
      </c>
      <c r="H17" s="930" t="e">
        <f>'Step 2. Production Estimate'!K96/'Step 2. Production Estimate'!$R96</f>
        <v>#DIV/0!</v>
      </c>
      <c r="I17" s="930" t="e">
        <f>'Step 2. Production Estimate'!L96/'Step 2. Production Estimate'!$R96</f>
        <v>#DIV/0!</v>
      </c>
      <c r="J17" s="930" t="e">
        <f>'Step 2. Production Estimate'!M96/'Step 2. Production Estimate'!$R96</f>
        <v>#DIV/0!</v>
      </c>
      <c r="K17" s="930" t="e">
        <f>'Step 2. Production Estimate'!N96/'Step 2. Production Estimate'!$R96</f>
        <v>#DIV/0!</v>
      </c>
      <c r="L17" s="930" t="e">
        <f>'Step 2. Production Estimate'!O96/'Step 2. Production Estimate'!$R96</f>
        <v>#DIV/0!</v>
      </c>
      <c r="M17" s="930" t="e">
        <f>'Step 2. Production Estimate'!P96/'Step 2. Production Estimate'!$R96</f>
        <v>#DIV/0!</v>
      </c>
      <c r="N17" s="930" t="e">
        <f>'Step 2. Production Estimate'!Q96/'Step 2. Production Estimate'!$R96</f>
        <v>#DIV/0!</v>
      </c>
      <c r="O17" s="924" t="e">
        <f>VLOOKUP(B17,ForageProductionModel!$B$52:'ForageProductionModel'!$O$76,14,FALSE)</f>
        <v>#N/A</v>
      </c>
      <c r="P17" s="929"/>
      <c r="Q17" s="1664" t="str">
        <f>IF('Step 2. Production Estimate'!R96="","",'Step 2. Production Estimate'!R96)</f>
        <v/>
      </c>
      <c r="R17" s="44"/>
      <c r="S17" s="202"/>
      <c r="T17" s="1150" t="s">
        <v>2516</v>
      </c>
      <c r="U17" s="1720" t="s">
        <v>3168</v>
      </c>
      <c r="V17" s="1060" t="str">
        <f t="shared" si="0"/>
        <v>30 - 60 days</v>
      </c>
      <c r="W17" s="1060">
        <v>30</v>
      </c>
      <c r="X17" s="1060">
        <v>60</v>
      </c>
      <c r="Y17" s="202"/>
      <c r="Z17" s="202"/>
      <c r="AA17" s="202"/>
      <c r="AB17" s="202"/>
      <c r="AC17" s="202"/>
      <c r="AD17" s="202"/>
    </row>
    <row r="18" spans="1:30" ht="16">
      <c r="A18" s="1385" t="str">
        <f>IF('Step 2. Production Estimate'!D97="","",'Step 2. Production Estimate'!D97)</f>
        <v/>
      </c>
      <c r="B18" s="986" t="str">
        <f>IF('Step 2. Production Estimate'!E97="","",'Step 2. Production Estimate'!E97)</f>
        <v/>
      </c>
      <c r="C18" s="365" t="e">
        <f>'Step 2. Production Estimate'!F97/'Step 2. Production Estimate'!$R97</f>
        <v>#DIV/0!</v>
      </c>
      <c r="D18" s="366" t="e">
        <f>'Step 2. Production Estimate'!G97/'Step 2. Production Estimate'!$R97</f>
        <v>#DIV/0!</v>
      </c>
      <c r="E18" s="366" t="e">
        <f>'Step 2. Production Estimate'!H97/'Step 2. Production Estimate'!$R97</f>
        <v>#DIV/0!</v>
      </c>
      <c r="F18" s="366" t="e">
        <f>'Step 2. Production Estimate'!I97/'Step 2. Production Estimate'!$R97</f>
        <v>#DIV/0!</v>
      </c>
      <c r="G18" s="366" t="e">
        <f>'Step 2. Production Estimate'!J97/'Step 2. Production Estimate'!$R97</f>
        <v>#DIV/0!</v>
      </c>
      <c r="H18" s="366" t="e">
        <f>'Step 2. Production Estimate'!K97/'Step 2. Production Estimate'!$R97</f>
        <v>#DIV/0!</v>
      </c>
      <c r="I18" s="366" t="e">
        <f>'Step 2. Production Estimate'!L97/'Step 2. Production Estimate'!$R97</f>
        <v>#DIV/0!</v>
      </c>
      <c r="J18" s="366" t="e">
        <f>'Step 2. Production Estimate'!M97/'Step 2. Production Estimate'!$R97</f>
        <v>#DIV/0!</v>
      </c>
      <c r="K18" s="366" t="e">
        <f>'Step 2. Production Estimate'!N97/'Step 2. Production Estimate'!$R97</f>
        <v>#DIV/0!</v>
      </c>
      <c r="L18" s="366" t="e">
        <f>'Step 2. Production Estimate'!O97/'Step 2. Production Estimate'!$R97</f>
        <v>#DIV/0!</v>
      </c>
      <c r="M18" s="366" t="e">
        <f>'Step 2. Production Estimate'!P97/'Step 2. Production Estimate'!$R97</f>
        <v>#DIV/0!</v>
      </c>
      <c r="N18" s="366" t="e">
        <f>'Step 2. Production Estimate'!Q97/'Step 2. Production Estimate'!$R97</f>
        <v>#DIV/0!</v>
      </c>
      <c r="O18" s="366" t="e">
        <f>VLOOKUP(B18,ForageProductionModel!$B$52:'ForageProductionModel'!$O$76,14,FALSE)</f>
        <v>#N/A</v>
      </c>
      <c r="P18" s="926"/>
      <c r="Q18" s="1666" t="str">
        <f>IF('Step 2. Production Estimate'!R97="","",'Step 2. Production Estimate'!R97)</f>
        <v/>
      </c>
      <c r="R18" s="44"/>
      <c r="S18" s="202"/>
      <c r="T18" s="1150" t="s">
        <v>2660</v>
      </c>
      <c r="U18" s="1150" t="s">
        <v>2657</v>
      </c>
      <c r="V18" s="1060" t="str">
        <f t="shared" si="0"/>
        <v>42 - 56 days</v>
      </c>
      <c r="W18" s="1060">
        <v>42</v>
      </c>
      <c r="X18" s="1060">
        <v>56</v>
      </c>
      <c r="Y18" s="202"/>
      <c r="Z18" s="202"/>
      <c r="AA18" s="202"/>
      <c r="AB18" s="202"/>
      <c r="AC18" s="202"/>
      <c r="AD18" s="202"/>
    </row>
    <row r="19" spans="1:30" ht="16">
      <c r="A19" s="922" t="str">
        <f>IF('Step 2. Production Estimate'!D98="","",'Step 2. Production Estimate'!D98)</f>
        <v/>
      </c>
      <c r="B19" s="924" t="str">
        <f>IF('Step 2. Production Estimate'!E98="","",'Step 2. Production Estimate'!E98)</f>
        <v/>
      </c>
      <c r="C19" s="923" t="e">
        <f>'Step 2. Production Estimate'!F98/'Step 2. Production Estimate'!$R98</f>
        <v>#DIV/0!</v>
      </c>
      <c r="D19" s="924" t="e">
        <f>'Step 2. Production Estimate'!G98/'Step 2. Production Estimate'!$R98</f>
        <v>#DIV/0!</v>
      </c>
      <c r="E19" s="924" t="e">
        <f>'Step 2. Production Estimate'!H98/'Step 2. Production Estimate'!$R98</f>
        <v>#DIV/0!</v>
      </c>
      <c r="F19" s="924" t="e">
        <f>'Step 2. Production Estimate'!I98/'Step 2. Production Estimate'!$R98</f>
        <v>#DIV/0!</v>
      </c>
      <c r="G19" s="924" t="e">
        <f>'Step 2. Production Estimate'!J98/'Step 2. Production Estimate'!$R98</f>
        <v>#DIV/0!</v>
      </c>
      <c r="H19" s="924" t="e">
        <f>'Step 2. Production Estimate'!K98/'Step 2. Production Estimate'!$R98</f>
        <v>#DIV/0!</v>
      </c>
      <c r="I19" s="924" t="e">
        <f>'Step 2. Production Estimate'!L98/'Step 2. Production Estimate'!$R98</f>
        <v>#DIV/0!</v>
      </c>
      <c r="J19" s="924" t="e">
        <f>'Step 2. Production Estimate'!M98/'Step 2. Production Estimate'!$R98</f>
        <v>#DIV/0!</v>
      </c>
      <c r="K19" s="924" t="e">
        <f>'Step 2. Production Estimate'!N98/'Step 2. Production Estimate'!$R98</f>
        <v>#DIV/0!</v>
      </c>
      <c r="L19" s="924" t="e">
        <f>'Step 2. Production Estimate'!O98/'Step 2. Production Estimate'!$R98</f>
        <v>#DIV/0!</v>
      </c>
      <c r="M19" s="924" t="e">
        <f>'Step 2. Production Estimate'!P98/'Step 2. Production Estimate'!$R98</f>
        <v>#DIV/0!</v>
      </c>
      <c r="N19" s="924" t="e">
        <f>'Step 2. Production Estimate'!Q98/'Step 2. Production Estimate'!$R98</f>
        <v>#DIV/0!</v>
      </c>
      <c r="O19" s="924" t="e">
        <f>VLOOKUP(B19,ForageProductionModel!$B$52:'ForageProductionModel'!$O$76,14,FALSE)</f>
        <v>#N/A</v>
      </c>
      <c r="P19" s="929"/>
      <c r="Q19" s="1664" t="str">
        <f>IF('Step 2. Production Estimate'!R98="","",'Step 2. Production Estimate'!R98)</f>
        <v/>
      </c>
      <c r="R19" s="44"/>
      <c r="S19" s="202"/>
      <c r="T19" s="1150" t="s">
        <v>2661</v>
      </c>
      <c r="U19" s="1150" t="s">
        <v>2657</v>
      </c>
      <c r="V19" s="1060" t="str">
        <f t="shared" si="0"/>
        <v>42 - 56 days</v>
      </c>
      <c r="W19" s="1060">
        <v>42</v>
      </c>
      <c r="X19" s="1060">
        <v>56</v>
      </c>
      <c r="Y19" s="202"/>
      <c r="Z19" s="202"/>
      <c r="AA19" s="202"/>
      <c r="AB19" s="202"/>
      <c r="AC19" s="202"/>
      <c r="AD19" s="202"/>
    </row>
    <row r="20" spans="1:30" ht="16">
      <c r="A20" s="369" t="str">
        <f>IF('Step 2. Production Estimate'!D99="","",'Step 2. Production Estimate'!D99)</f>
        <v/>
      </c>
      <c r="B20" s="366" t="str">
        <f>IF('Step 2. Production Estimate'!E99="","",'Step 2. Production Estimate'!E99)</f>
        <v/>
      </c>
      <c r="C20" s="365" t="e">
        <f>'Step 2. Production Estimate'!F99/'Step 2. Production Estimate'!$R99</f>
        <v>#DIV/0!</v>
      </c>
      <c r="D20" s="366" t="e">
        <f>'Step 2. Production Estimate'!G99/'Step 2. Production Estimate'!$R99</f>
        <v>#DIV/0!</v>
      </c>
      <c r="E20" s="366" t="e">
        <f>'Step 2. Production Estimate'!H99/'Step 2. Production Estimate'!$R99</f>
        <v>#DIV/0!</v>
      </c>
      <c r="F20" s="366" t="e">
        <f>'Step 2. Production Estimate'!I99/'Step 2. Production Estimate'!$R99</f>
        <v>#DIV/0!</v>
      </c>
      <c r="G20" s="366" t="e">
        <f>'Step 2. Production Estimate'!J99/'Step 2. Production Estimate'!$R99</f>
        <v>#DIV/0!</v>
      </c>
      <c r="H20" s="366" t="e">
        <f>'Step 2. Production Estimate'!K99/'Step 2. Production Estimate'!$R99</f>
        <v>#DIV/0!</v>
      </c>
      <c r="I20" s="366" t="e">
        <f>'Step 2. Production Estimate'!L99/'Step 2. Production Estimate'!$R99</f>
        <v>#DIV/0!</v>
      </c>
      <c r="J20" s="366" t="e">
        <f>'Step 2. Production Estimate'!M99/'Step 2. Production Estimate'!$R99</f>
        <v>#DIV/0!</v>
      </c>
      <c r="K20" s="366" t="e">
        <f>'Step 2. Production Estimate'!N99/'Step 2. Production Estimate'!$R99</f>
        <v>#DIV/0!</v>
      </c>
      <c r="L20" s="366" t="e">
        <f>'Step 2. Production Estimate'!O99/'Step 2. Production Estimate'!$R99</f>
        <v>#DIV/0!</v>
      </c>
      <c r="M20" s="366" t="e">
        <f>'Step 2. Production Estimate'!P99/'Step 2. Production Estimate'!$R99</f>
        <v>#DIV/0!</v>
      </c>
      <c r="N20" s="366" t="e">
        <f>'Step 2. Production Estimate'!Q99/'Step 2. Production Estimate'!$R99</f>
        <v>#DIV/0!</v>
      </c>
      <c r="O20" s="366" t="e">
        <f>VLOOKUP(B20,ForageProductionModel!$B$52:'ForageProductionModel'!$O$76,14,FALSE)</f>
        <v>#N/A</v>
      </c>
      <c r="P20" s="926"/>
      <c r="Q20" s="1666" t="str">
        <f>IF('Step 2. Production Estimate'!R99="","",'Step 2. Production Estimate'!R99)</f>
        <v/>
      </c>
      <c r="R20" s="44"/>
      <c r="S20" s="202"/>
      <c r="T20" s="1150" t="s">
        <v>2543</v>
      </c>
      <c r="U20" s="1721" t="s">
        <v>3169</v>
      </c>
      <c r="V20" s="1060" t="str">
        <f t="shared" si="0"/>
        <v>28 - 56 days</v>
      </c>
      <c r="W20" s="1060">
        <v>28</v>
      </c>
      <c r="X20" s="1060">
        <v>56</v>
      </c>
      <c r="Y20" s="202"/>
      <c r="Z20" s="202"/>
      <c r="AA20" s="202"/>
      <c r="AB20" s="202"/>
      <c r="AC20" s="202"/>
      <c r="AD20" s="202"/>
    </row>
    <row r="21" spans="1:30" ht="16">
      <c r="A21" s="922" t="str">
        <f>IF('Step 2. Production Estimate'!D100="","",'Step 2. Production Estimate'!D100)</f>
        <v/>
      </c>
      <c r="B21" s="924" t="str">
        <f>IF('Step 2. Production Estimate'!E100="","",'Step 2. Production Estimate'!E100)</f>
        <v/>
      </c>
      <c r="C21" s="923" t="e">
        <f>'Step 2. Production Estimate'!F100/'Step 2. Production Estimate'!$R100</f>
        <v>#DIV/0!</v>
      </c>
      <c r="D21" s="924" t="e">
        <f>'Step 2. Production Estimate'!G100/'Step 2. Production Estimate'!$R100</f>
        <v>#DIV/0!</v>
      </c>
      <c r="E21" s="924" t="e">
        <f>'Step 2. Production Estimate'!H100/'Step 2. Production Estimate'!$R100</f>
        <v>#DIV/0!</v>
      </c>
      <c r="F21" s="924" t="e">
        <f>'Step 2. Production Estimate'!I100/'Step 2. Production Estimate'!$R100</f>
        <v>#DIV/0!</v>
      </c>
      <c r="G21" s="924" t="e">
        <f>'Step 2. Production Estimate'!J100/'Step 2. Production Estimate'!$R100</f>
        <v>#DIV/0!</v>
      </c>
      <c r="H21" s="924" t="e">
        <f>'Step 2. Production Estimate'!K100/'Step 2. Production Estimate'!$R100</f>
        <v>#DIV/0!</v>
      </c>
      <c r="I21" s="924" t="e">
        <f>'Step 2. Production Estimate'!L100/'Step 2. Production Estimate'!$R100</f>
        <v>#DIV/0!</v>
      </c>
      <c r="J21" s="924" t="e">
        <f>'Step 2. Production Estimate'!M100/'Step 2. Production Estimate'!$R100</f>
        <v>#DIV/0!</v>
      </c>
      <c r="K21" s="924" t="e">
        <f>'Step 2. Production Estimate'!N100/'Step 2. Production Estimate'!$R100</f>
        <v>#DIV/0!</v>
      </c>
      <c r="L21" s="924" t="e">
        <f>'Step 2. Production Estimate'!O100/'Step 2. Production Estimate'!$R100</f>
        <v>#DIV/0!</v>
      </c>
      <c r="M21" s="924" t="e">
        <f>'Step 2. Production Estimate'!P100/'Step 2. Production Estimate'!$R100</f>
        <v>#DIV/0!</v>
      </c>
      <c r="N21" s="924" t="e">
        <f>'Step 2. Production Estimate'!Q100/'Step 2. Production Estimate'!$R100</f>
        <v>#DIV/0!</v>
      </c>
      <c r="O21" s="924" t="e">
        <f>VLOOKUP(B21,ForageProductionModel!$B$52:'ForageProductionModel'!$O$76,14,FALSE)</f>
        <v>#N/A</v>
      </c>
      <c r="P21" s="929"/>
      <c r="Q21" s="1664" t="str">
        <f>IF('Step 2. Production Estimate'!R100="","",'Step 2. Production Estimate'!R100)</f>
        <v/>
      </c>
      <c r="R21" s="44"/>
      <c r="S21" s="202"/>
      <c r="T21" s="1150" t="s">
        <v>2525</v>
      </c>
      <c r="U21" s="1296" t="s">
        <v>2662</v>
      </c>
      <c r="V21" s="1060" t="str">
        <f t="shared" si="0"/>
        <v>30 - 60 days</v>
      </c>
      <c r="W21" s="1060">
        <v>30</v>
      </c>
      <c r="X21" s="1060">
        <v>60</v>
      </c>
      <c r="Y21" s="202"/>
      <c r="Z21" s="202"/>
      <c r="AA21" s="202"/>
      <c r="AB21" s="202"/>
      <c r="AC21" s="202"/>
      <c r="AD21" s="202"/>
    </row>
    <row r="22" spans="1:30" ht="16">
      <c r="A22" s="369" t="str">
        <f>IF('Step 2. Production Estimate'!D101="","",'Step 2. Production Estimate'!D101)</f>
        <v/>
      </c>
      <c r="B22" s="366" t="str">
        <f>IF('Step 2. Production Estimate'!E101="","",'Step 2. Production Estimate'!E101)</f>
        <v/>
      </c>
      <c r="C22" s="365" t="e">
        <f>'Step 2. Production Estimate'!F101/'Step 2. Production Estimate'!$R101</f>
        <v>#DIV/0!</v>
      </c>
      <c r="D22" s="366" t="e">
        <f>'Step 2. Production Estimate'!G101/'Step 2. Production Estimate'!$R101</f>
        <v>#DIV/0!</v>
      </c>
      <c r="E22" s="366" t="e">
        <f>'Step 2. Production Estimate'!H101/'Step 2. Production Estimate'!$R101</f>
        <v>#DIV/0!</v>
      </c>
      <c r="F22" s="366" t="e">
        <f>'Step 2. Production Estimate'!I101/'Step 2. Production Estimate'!$R101</f>
        <v>#DIV/0!</v>
      </c>
      <c r="G22" s="366" t="e">
        <f>'Step 2. Production Estimate'!J101/'Step 2. Production Estimate'!$R101</f>
        <v>#DIV/0!</v>
      </c>
      <c r="H22" s="366" t="e">
        <f>'Step 2. Production Estimate'!K101/'Step 2. Production Estimate'!$R101</f>
        <v>#DIV/0!</v>
      </c>
      <c r="I22" s="366" t="e">
        <f>'Step 2. Production Estimate'!L101/'Step 2. Production Estimate'!$R101</f>
        <v>#DIV/0!</v>
      </c>
      <c r="J22" s="366" t="e">
        <f>'Step 2. Production Estimate'!M101/'Step 2. Production Estimate'!$R101</f>
        <v>#DIV/0!</v>
      </c>
      <c r="K22" s="366" t="e">
        <f>'Step 2. Production Estimate'!N101/'Step 2. Production Estimate'!$R101</f>
        <v>#DIV/0!</v>
      </c>
      <c r="L22" s="366" t="e">
        <f>'Step 2. Production Estimate'!O101/'Step 2. Production Estimate'!$R101</f>
        <v>#DIV/0!</v>
      </c>
      <c r="M22" s="366" t="e">
        <f>'Step 2. Production Estimate'!P101/'Step 2. Production Estimate'!$R101</f>
        <v>#DIV/0!</v>
      </c>
      <c r="N22" s="366" t="e">
        <f>'Step 2. Production Estimate'!Q101/'Step 2. Production Estimate'!$R101</f>
        <v>#DIV/0!</v>
      </c>
      <c r="O22" s="366" t="e">
        <f>VLOOKUP(B22,ForageProductionModel!$B$52:'ForageProductionModel'!$O$76,14,FALSE)</f>
        <v>#N/A</v>
      </c>
      <c r="P22" s="926"/>
      <c r="Q22" s="1666" t="str">
        <f>IF('Step 2. Production Estimate'!R101="","",'Step 2. Production Estimate'!R101)</f>
        <v/>
      </c>
      <c r="R22" s="44"/>
      <c r="S22" s="202"/>
      <c r="T22" s="1150" t="s">
        <v>2521</v>
      </c>
      <c r="U22" s="1296" t="s">
        <v>2652</v>
      </c>
      <c r="V22" s="1060" t="str">
        <f t="shared" si="0"/>
        <v>35 - 60 days</v>
      </c>
      <c r="W22" s="1060">
        <v>35</v>
      </c>
      <c r="X22" s="1060">
        <v>60</v>
      </c>
      <c r="Y22" s="202"/>
      <c r="Z22" s="202"/>
      <c r="AA22" s="202"/>
      <c r="AB22" s="202"/>
      <c r="AC22" s="202"/>
      <c r="AD22" s="202"/>
    </row>
    <row r="23" spans="1:30" ht="16">
      <c r="A23" s="922" t="str">
        <f>IF('Step 2. Production Estimate'!D102="","",'Step 2. Production Estimate'!D102)</f>
        <v/>
      </c>
      <c r="B23" s="924" t="str">
        <f>IF('Step 2. Production Estimate'!E102="","",'Step 2. Production Estimate'!E102)</f>
        <v/>
      </c>
      <c r="C23" s="923" t="e">
        <f>'Step 2. Production Estimate'!F102/'Step 2. Production Estimate'!$R102</f>
        <v>#DIV/0!</v>
      </c>
      <c r="D23" s="924" t="e">
        <f>'Step 2. Production Estimate'!G102/'Step 2. Production Estimate'!$R102</f>
        <v>#DIV/0!</v>
      </c>
      <c r="E23" s="924" t="e">
        <f>'Step 2. Production Estimate'!H102/'Step 2. Production Estimate'!$R102</f>
        <v>#DIV/0!</v>
      </c>
      <c r="F23" s="924" t="e">
        <f>'Step 2. Production Estimate'!I102/'Step 2. Production Estimate'!$R102</f>
        <v>#DIV/0!</v>
      </c>
      <c r="G23" s="924" t="e">
        <f>'Step 2. Production Estimate'!J102/'Step 2. Production Estimate'!$R102</f>
        <v>#DIV/0!</v>
      </c>
      <c r="H23" s="924" t="e">
        <f>'Step 2. Production Estimate'!K102/'Step 2. Production Estimate'!$R102</f>
        <v>#DIV/0!</v>
      </c>
      <c r="I23" s="924" t="e">
        <f>'Step 2. Production Estimate'!L102/'Step 2. Production Estimate'!$R102</f>
        <v>#DIV/0!</v>
      </c>
      <c r="J23" s="924" t="e">
        <f>'Step 2. Production Estimate'!M102/'Step 2. Production Estimate'!$R102</f>
        <v>#DIV/0!</v>
      </c>
      <c r="K23" s="924" t="e">
        <f>'Step 2. Production Estimate'!N102/'Step 2. Production Estimate'!$R102</f>
        <v>#DIV/0!</v>
      </c>
      <c r="L23" s="924" t="e">
        <f>'Step 2. Production Estimate'!O102/'Step 2. Production Estimate'!$R102</f>
        <v>#DIV/0!</v>
      </c>
      <c r="M23" s="924" t="e">
        <f>'Step 2. Production Estimate'!P102/'Step 2. Production Estimate'!$R102</f>
        <v>#DIV/0!</v>
      </c>
      <c r="N23" s="924" t="e">
        <f>'Step 2. Production Estimate'!Q102/'Step 2. Production Estimate'!$R102</f>
        <v>#DIV/0!</v>
      </c>
      <c r="O23" s="924" t="e">
        <f>VLOOKUP(B23,ForageProductionModel!$B$52:'ForageProductionModel'!$O$76,14,FALSE)</f>
        <v>#N/A</v>
      </c>
      <c r="P23" s="929"/>
      <c r="Q23" s="1664" t="str">
        <f>IF('Step 2. Production Estimate'!R102="","",'Step 2. Production Estimate'!R102)</f>
        <v/>
      </c>
      <c r="R23" s="44"/>
      <c r="S23" s="202"/>
      <c r="T23" s="1150" t="s">
        <v>2507</v>
      </c>
      <c r="U23" s="1720" t="s">
        <v>2651</v>
      </c>
      <c r="V23" s="1060" t="str">
        <f t="shared" si="0"/>
        <v>30 - 60 days</v>
      </c>
      <c r="W23" s="1060">
        <v>30</v>
      </c>
      <c r="X23" s="1060">
        <v>60</v>
      </c>
      <c r="Y23" s="202"/>
      <c r="Z23" s="202"/>
      <c r="AA23" s="202"/>
      <c r="AB23" s="202"/>
      <c r="AC23" s="202"/>
      <c r="AD23" s="202"/>
    </row>
    <row r="24" spans="1:30" ht="16">
      <c r="A24" s="369" t="str">
        <f>IF('Step 2. Production Estimate'!D103="","",'Step 2. Production Estimate'!D103)</f>
        <v/>
      </c>
      <c r="B24" s="366" t="str">
        <f>IF('Step 2. Production Estimate'!E103="","",'Step 2. Production Estimate'!E103)</f>
        <v/>
      </c>
      <c r="C24" s="365" t="e">
        <f>'Step 2. Production Estimate'!F103/'Step 2. Production Estimate'!$R103</f>
        <v>#DIV/0!</v>
      </c>
      <c r="D24" s="366" t="e">
        <f>'Step 2. Production Estimate'!G103/'Step 2. Production Estimate'!$R103</f>
        <v>#DIV/0!</v>
      </c>
      <c r="E24" s="366" t="e">
        <f>'Step 2. Production Estimate'!H103/'Step 2. Production Estimate'!$R103</f>
        <v>#DIV/0!</v>
      </c>
      <c r="F24" s="366" t="e">
        <f>'Step 2. Production Estimate'!I103/'Step 2. Production Estimate'!$R103</f>
        <v>#DIV/0!</v>
      </c>
      <c r="G24" s="366" t="e">
        <f>'Step 2. Production Estimate'!J103/'Step 2. Production Estimate'!$R103</f>
        <v>#DIV/0!</v>
      </c>
      <c r="H24" s="366" t="e">
        <f>'Step 2. Production Estimate'!K103/'Step 2. Production Estimate'!$R103</f>
        <v>#DIV/0!</v>
      </c>
      <c r="I24" s="366" t="e">
        <f>'Step 2. Production Estimate'!L103/'Step 2. Production Estimate'!$R103</f>
        <v>#DIV/0!</v>
      </c>
      <c r="J24" s="366" t="e">
        <f>'Step 2. Production Estimate'!M103/'Step 2. Production Estimate'!$R103</f>
        <v>#DIV/0!</v>
      </c>
      <c r="K24" s="366" t="e">
        <f>'Step 2. Production Estimate'!N103/'Step 2. Production Estimate'!$R103</f>
        <v>#DIV/0!</v>
      </c>
      <c r="L24" s="366" t="e">
        <f>'Step 2. Production Estimate'!O103/'Step 2. Production Estimate'!$R103</f>
        <v>#DIV/0!</v>
      </c>
      <c r="M24" s="366" t="e">
        <f>'Step 2. Production Estimate'!P103/'Step 2. Production Estimate'!$R103</f>
        <v>#DIV/0!</v>
      </c>
      <c r="N24" s="366" t="e">
        <f>'Step 2. Production Estimate'!Q103/'Step 2. Production Estimate'!$R103</f>
        <v>#DIV/0!</v>
      </c>
      <c r="O24" s="366" t="e">
        <f>VLOOKUP(B24,ForageProductionModel!$B$52:'ForageProductionModel'!$O$76,14,FALSE)</f>
        <v>#N/A</v>
      </c>
      <c r="P24" s="926"/>
      <c r="Q24" s="1666" t="str">
        <f>IF('Step 2. Production Estimate'!R103="","",'Step 2. Production Estimate'!R103)</f>
        <v/>
      </c>
      <c r="R24" s="44"/>
      <c r="S24" s="202"/>
      <c r="T24" s="1150" t="s">
        <v>2533</v>
      </c>
      <c r="U24" s="1150" t="s">
        <v>2652</v>
      </c>
      <c r="V24" s="1060" t="str">
        <f t="shared" si="0"/>
        <v>28 - 49 days</v>
      </c>
      <c r="W24" s="1060">
        <v>28</v>
      </c>
      <c r="X24" s="1060">
        <v>49</v>
      </c>
      <c r="Y24" s="202"/>
      <c r="Z24" s="202"/>
      <c r="AA24" s="202"/>
      <c r="AB24" s="202"/>
      <c r="AC24" s="202"/>
      <c r="AD24" s="202"/>
    </row>
    <row r="25" spans="1:30" ht="16">
      <c r="A25" s="922" t="str">
        <f>IF('Step 2. Production Estimate'!D104="","",'Step 2. Production Estimate'!D104)</f>
        <v/>
      </c>
      <c r="B25" s="924" t="str">
        <f>IF('Step 2. Production Estimate'!E104="","",'Step 2. Production Estimate'!E104)</f>
        <v/>
      </c>
      <c r="C25" s="923" t="e">
        <f>'Step 2. Production Estimate'!F104/'Step 2. Production Estimate'!$R104</f>
        <v>#DIV/0!</v>
      </c>
      <c r="D25" s="924" t="e">
        <f>'Step 2. Production Estimate'!G104/'Step 2. Production Estimate'!$R104</f>
        <v>#DIV/0!</v>
      </c>
      <c r="E25" s="924" t="e">
        <f>'Step 2. Production Estimate'!H104/'Step 2. Production Estimate'!$R104</f>
        <v>#DIV/0!</v>
      </c>
      <c r="F25" s="924" t="e">
        <f>'Step 2. Production Estimate'!I104/'Step 2. Production Estimate'!$R104</f>
        <v>#DIV/0!</v>
      </c>
      <c r="G25" s="924" t="e">
        <f>'Step 2. Production Estimate'!J104/'Step 2. Production Estimate'!$R104</f>
        <v>#DIV/0!</v>
      </c>
      <c r="H25" s="924" t="e">
        <f>'Step 2. Production Estimate'!K104/'Step 2. Production Estimate'!$R104</f>
        <v>#DIV/0!</v>
      </c>
      <c r="I25" s="924" t="e">
        <f>'Step 2. Production Estimate'!L104/'Step 2. Production Estimate'!$R104</f>
        <v>#DIV/0!</v>
      </c>
      <c r="J25" s="924" t="e">
        <f>'Step 2. Production Estimate'!M104/'Step 2. Production Estimate'!$R104</f>
        <v>#DIV/0!</v>
      </c>
      <c r="K25" s="924" t="e">
        <f>'Step 2. Production Estimate'!N104/'Step 2. Production Estimate'!$R104</f>
        <v>#DIV/0!</v>
      </c>
      <c r="L25" s="924" t="e">
        <f>'Step 2. Production Estimate'!O104/'Step 2. Production Estimate'!$R104</f>
        <v>#DIV/0!</v>
      </c>
      <c r="M25" s="924" t="e">
        <f>'Step 2. Production Estimate'!P104/'Step 2. Production Estimate'!$R104</f>
        <v>#DIV/0!</v>
      </c>
      <c r="N25" s="924" t="e">
        <f>'Step 2. Production Estimate'!Q104/'Step 2. Production Estimate'!$R104</f>
        <v>#DIV/0!</v>
      </c>
      <c r="O25" s="924" t="e">
        <f>VLOOKUP(B25,ForageProductionModel!$B$52:'ForageProductionModel'!$O$76,14,FALSE)</f>
        <v>#N/A</v>
      </c>
      <c r="P25" s="929"/>
      <c r="Q25" s="1664" t="str">
        <f>IF('Step 2. Production Estimate'!R104="","",'Step 2. Production Estimate'!R104)</f>
        <v/>
      </c>
      <c r="R25" s="44"/>
      <c r="S25" s="202"/>
      <c r="T25" s="1150" t="s">
        <v>2539</v>
      </c>
      <c r="U25" s="1720" t="s">
        <v>2652</v>
      </c>
      <c r="V25" s="1060" t="str">
        <f t="shared" si="0"/>
        <v>45 - 60 days</v>
      </c>
      <c r="W25" s="1060">
        <v>45</v>
      </c>
      <c r="X25" s="1060">
        <v>60</v>
      </c>
      <c r="Y25" s="202"/>
      <c r="Z25" s="202"/>
      <c r="AA25" s="202"/>
      <c r="AB25" s="202"/>
      <c r="AC25" s="202"/>
      <c r="AD25" s="202"/>
    </row>
    <row r="26" spans="1:30" ht="16">
      <c r="A26" s="369" t="str">
        <f>IF('Step 2. Production Estimate'!D105="","",'Step 2. Production Estimate'!D105)</f>
        <v/>
      </c>
      <c r="B26" s="366" t="str">
        <f>IF('Step 2. Production Estimate'!E105="","",'Step 2. Production Estimate'!E105)</f>
        <v/>
      </c>
      <c r="C26" s="365" t="e">
        <f>'Step 2. Production Estimate'!F105/'Step 2. Production Estimate'!$R105</f>
        <v>#DIV/0!</v>
      </c>
      <c r="D26" s="366" t="e">
        <f>'Step 2. Production Estimate'!G105/'Step 2. Production Estimate'!$R105</f>
        <v>#DIV/0!</v>
      </c>
      <c r="E26" s="366" t="e">
        <f>'Step 2. Production Estimate'!H105/'Step 2. Production Estimate'!$R105</f>
        <v>#DIV/0!</v>
      </c>
      <c r="F26" s="366" t="e">
        <f>'Step 2. Production Estimate'!I105/'Step 2. Production Estimate'!$R105</f>
        <v>#DIV/0!</v>
      </c>
      <c r="G26" s="366" t="e">
        <f>'Step 2. Production Estimate'!J105/'Step 2. Production Estimate'!$R105</f>
        <v>#DIV/0!</v>
      </c>
      <c r="H26" s="366" t="e">
        <f>'Step 2. Production Estimate'!K105/'Step 2. Production Estimate'!$R105</f>
        <v>#DIV/0!</v>
      </c>
      <c r="I26" s="366" t="e">
        <f>'Step 2. Production Estimate'!L105/'Step 2. Production Estimate'!$R105</f>
        <v>#DIV/0!</v>
      </c>
      <c r="J26" s="366" t="e">
        <f>'Step 2. Production Estimate'!M105/'Step 2. Production Estimate'!$R105</f>
        <v>#DIV/0!</v>
      </c>
      <c r="K26" s="366" t="e">
        <f>'Step 2. Production Estimate'!N105/'Step 2. Production Estimate'!$R105</f>
        <v>#DIV/0!</v>
      </c>
      <c r="L26" s="366" t="e">
        <f>'Step 2. Production Estimate'!O105/'Step 2. Production Estimate'!$R105</f>
        <v>#DIV/0!</v>
      </c>
      <c r="M26" s="366" t="e">
        <f>'Step 2. Production Estimate'!P105/'Step 2. Production Estimate'!$R105</f>
        <v>#DIV/0!</v>
      </c>
      <c r="N26" s="366" t="e">
        <f>'Step 2. Production Estimate'!Q105/'Step 2. Production Estimate'!$R105</f>
        <v>#DIV/0!</v>
      </c>
      <c r="O26" s="366" t="e">
        <f>VLOOKUP(B26,ForageProductionModel!$B$52:'ForageProductionModel'!$O$76,14,FALSE)</f>
        <v>#N/A</v>
      </c>
      <c r="P26" s="926"/>
      <c r="Q26" s="1666" t="str">
        <f>IF('Step 2. Production Estimate'!R105="","",'Step 2. Production Estimate'!R105)</f>
        <v/>
      </c>
      <c r="R26" s="44"/>
      <c r="S26" s="202"/>
      <c r="T26" s="1150" t="s">
        <v>2459</v>
      </c>
      <c r="U26" s="1150" t="s">
        <v>2657</v>
      </c>
      <c r="V26" s="1060" t="str">
        <f t="shared" si="0"/>
        <v>30 - 60 days</v>
      </c>
      <c r="W26" s="1060">
        <v>30</v>
      </c>
      <c r="X26" s="1060">
        <v>60</v>
      </c>
      <c r="Y26" s="202"/>
      <c r="Z26" s="202"/>
      <c r="AA26" s="202"/>
      <c r="AB26" s="202"/>
      <c r="AC26" s="202"/>
      <c r="AD26" s="202"/>
    </row>
    <row r="27" spans="1:30" ht="16">
      <c r="A27" s="922" t="str">
        <f>IF('Step 2. Production Estimate'!D106="","",'Step 2. Production Estimate'!D106)</f>
        <v/>
      </c>
      <c r="B27" s="924" t="str">
        <f>IF('Step 2. Production Estimate'!E106="","",'Step 2. Production Estimate'!E106)</f>
        <v/>
      </c>
      <c r="C27" s="923" t="e">
        <f>'Step 2. Production Estimate'!F106/'Step 2. Production Estimate'!$R106</f>
        <v>#DIV/0!</v>
      </c>
      <c r="D27" s="924" t="e">
        <f>'Step 2. Production Estimate'!G106/'Step 2. Production Estimate'!$R106</f>
        <v>#DIV/0!</v>
      </c>
      <c r="E27" s="924" t="e">
        <f>'Step 2. Production Estimate'!H106/'Step 2. Production Estimate'!$R106</f>
        <v>#DIV/0!</v>
      </c>
      <c r="F27" s="924" t="e">
        <f>'Step 2. Production Estimate'!I106/'Step 2. Production Estimate'!$R106</f>
        <v>#DIV/0!</v>
      </c>
      <c r="G27" s="924" t="e">
        <f>'Step 2. Production Estimate'!J106/'Step 2. Production Estimate'!$R106</f>
        <v>#DIV/0!</v>
      </c>
      <c r="H27" s="924" t="e">
        <f>'Step 2. Production Estimate'!K106/'Step 2. Production Estimate'!$R106</f>
        <v>#DIV/0!</v>
      </c>
      <c r="I27" s="924" t="e">
        <f>'Step 2. Production Estimate'!L106/'Step 2. Production Estimate'!$R106</f>
        <v>#DIV/0!</v>
      </c>
      <c r="J27" s="924" t="e">
        <f>'Step 2. Production Estimate'!M106/'Step 2. Production Estimate'!$R106</f>
        <v>#DIV/0!</v>
      </c>
      <c r="K27" s="924" t="e">
        <f>'Step 2. Production Estimate'!N106/'Step 2. Production Estimate'!$R106</f>
        <v>#DIV/0!</v>
      </c>
      <c r="L27" s="924" t="e">
        <f>'Step 2. Production Estimate'!O106/'Step 2. Production Estimate'!$R106</f>
        <v>#DIV/0!</v>
      </c>
      <c r="M27" s="924" t="e">
        <f>'Step 2. Production Estimate'!P106/'Step 2. Production Estimate'!$R106</f>
        <v>#DIV/0!</v>
      </c>
      <c r="N27" s="924" t="e">
        <f>'Step 2. Production Estimate'!Q106/'Step 2. Production Estimate'!$R106</f>
        <v>#DIV/0!</v>
      </c>
      <c r="O27" s="924" t="e">
        <f>VLOOKUP(B27,ForageProductionModel!$B$52:'ForageProductionModel'!$O$76,14,FALSE)</f>
        <v>#N/A</v>
      </c>
      <c r="P27" s="929"/>
      <c r="Q27" s="1664" t="str">
        <f>IF('Step 2. Production Estimate'!R106="","",'Step 2. Production Estimate'!R106)</f>
        <v/>
      </c>
      <c r="R27" s="44"/>
      <c r="S27" s="202"/>
      <c r="T27" s="1150" t="s">
        <v>2528</v>
      </c>
      <c r="U27" s="1150" t="s">
        <v>2652</v>
      </c>
      <c r="V27" s="1060" t="str">
        <f t="shared" si="0"/>
        <v>28 - 49 days</v>
      </c>
      <c r="W27" s="1060">
        <v>28</v>
      </c>
      <c r="X27" s="1060">
        <v>49</v>
      </c>
      <c r="Y27" s="202"/>
      <c r="Z27" s="202"/>
      <c r="AA27" s="202"/>
      <c r="AB27" s="202"/>
      <c r="AC27" s="202"/>
      <c r="AD27" s="202"/>
    </row>
    <row r="28" spans="1:30" ht="16">
      <c r="A28" s="369" t="str">
        <f>IF('Step 2. Production Estimate'!D107="","",'Step 2. Production Estimate'!D107)</f>
        <v/>
      </c>
      <c r="B28" s="366" t="str">
        <f>IF('Step 2. Production Estimate'!E107="","",'Step 2. Production Estimate'!E107)</f>
        <v/>
      </c>
      <c r="C28" s="365" t="e">
        <f>'Step 2. Production Estimate'!F107/'Step 2. Production Estimate'!$R107</f>
        <v>#DIV/0!</v>
      </c>
      <c r="D28" s="366" t="e">
        <f>'Step 2. Production Estimate'!G107/'Step 2. Production Estimate'!$R107</f>
        <v>#DIV/0!</v>
      </c>
      <c r="E28" s="366" t="e">
        <f>'Step 2. Production Estimate'!H107/'Step 2. Production Estimate'!$R107</f>
        <v>#DIV/0!</v>
      </c>
      <c r="F28" s="366" t="e">
        <f>'Step 2. Production Estimate'!I107/'Step 2. Production Estimate'!$R107</f>
        <v>#DIV/0!</v>
      </c>
      <c r="G28" s="366" t="e">
        <f>'Step 2. Production Estimate'!J107/'Step 2. Production Estimate'!$R107</f>
        <v>#DIV/0!</v>
      </c>
      <c r="H28" s="366" t="e">
        <f>'Step 2. Production Estimate'!K107/'Step 2. Production Estimate'!$R107</f>
        <v>#DIV/0!</v>
      </c>
      <c r="I28" s="366" t="e">
        <f>'Step 2. Production Estimate'!L107/'Step 2. Production Estimate'!$R107</f>
        <v>#DIV/0!</v>
      </c>
      <c r="J28" s="366" t="e">
        <f>'Step 2. Production Estimate'!M107/'Step 2. Production Estimate'!$R107</f>
        <v>#DIV/0!</v>
      </c>
      <c r="K28" s="366" t="e">
        <f>'Step 2. Production Estimate'!N107/'Step 2. Production Estimate'!$R107</f>
        <v>#DIV/0!</v>
      </c>
      <c r="L28" s="366" t="e">
        <f>'Step 2. Production Estimate'!O107/'Step 2. Production Estimate'!$R107</f>
        <v>#DIV/0!</v>
      </c>
      <c r="M28" s="366" t="e">
        <f>'Step 2. Production Estimate'!P107/'Step 2. Production Estimate'!$R107</f>
        <v>#DIV/0!</v>
      </c>
      <c r="N28" s="366" t="e">
        <f>'Step 2. Production Estimate'!Q107/'Step 2. Production Estimate'!$R107</f>
        <v>#DIV/0!</v>
      </c>
      <c r="O28" s="366" t="e">
        <f>VLOOKUP(B28,ForageProductionModel!$B$52:'ForageProductionModel'!$O$76,14,FALSE)</f>
        <v>#N/A</v>
      </c>
      <c r="P28" s="926"/>
      <c r="Q28" s="1666" t="str">
        <f>IF('Step 2. Production Estimate'!R107="","",'Step 2. Production Estimate'!R107)</f>
        <v/>
      </c>
      <c r="R28" s="44"/>
      <c r="S28" s="202"/>
      <c r="T28" s="202"/>
      <c r="U28" s="202"/>
      <c r="V28" s="202"/>
      <c r="W28" s="202"/>
      <c r="X28" s="202"/>
      <c r="Y28" s="202"/>
      <c r="Z28" s="202"/>
      <c r="AA28" s="202"/>
      <c r="AB28" s="202"/>
      <c r="AC28" s="202"/>
      <c r="AD28" s="202"/>
    </row>
    <row r="29" spans="1:30" ht="16">
      <c r="A29" s="922" t="str">
        <f>IF('Step 2. Production Estimate'!D108="","",'Step 2. Production Estimate'!D108)</f>
        <v/>
      </c>
      <c r="B29" s="924" t="str">
        <f>IF('Step 2. Production Estimate'!E108="","",'Step 2. Production Estimate'!E108)</f>
        <v/>
      </c>
      <c r="C29" s="923" t="e">
        <f>'Step 2. Production Estimate'!F108/'Step 2. Production Estimate'!$R108</f>
        <v>#DIV/0!</v>
      </c>
      <c r="D29" s="924" t="e">
        <f>'Step 2. Production Estimate'!G108/'Step 2. Production Estimate'!$R108</f>
        <v>#DIV/0!</v>
      </c>
      <c r="E29" s="924" t="e">
        <f>'Step 2. Production Estimate'!H108/'Step 2. Production Estimate'!$R108</f>
        <v>#DIV/0!</v>
      </c>
      <c r="F29" s="924" t="e">
        <f>'Step 2. Production Estimate'!I108/'Step 2. Production Estimate'!$R108</f>
        <v>#DIV/0!</v>
      </c>
      <c r="G29" s="924" t="e">
        <f>'Step 2. Production Estimate'!J108/'Step 2. Production Estimate'!$R108</f>
        <v>#DIV/0!</v>
      </c>
      <c r="H29" s="924" t="e">
        <f>'Step 2. Production Estimate'!K108/'Step 2. Production Estimate'!$R108</f>
        <v>#DIV/0!</v>
      </c>
      <c r="I29" s="924" t="e">
        <f>'Step 2. Production Estimate'!L108/'Step 2. Production Estimate'!$R108</f>
        <v>#DIV/0!</v>
      </c>
      <c r="J29" s="924" t="e">
        <f>'Step 2. Production Estimate'!M108/'Step 2. Production Estimate'!$R108</f>
        <v>#DIV/0!</v>
      </c>
      <c r="K29" s="924" t="e">
        <f>'Step 2. Production Estimate'!N108/'Step 2. Production Estimate'!$R108</f>
        <v>#DIV/0!</v>
      </c>
      <c r="L29" s="924" t="e">
        <f>'Step 2. Production Estimate'!O108/'Step 2. Production Estimate'!$R108</f>
        <v>#DIV/0!</v>
      </c>
      <c r="M29" s="924" t="e">
        <f>'Step 2. Production Estimate'!P108/'Step 2. Production Estimate'!$R108</f>
        <v>#DIV/0!</v>
      </c>
      <c r="N29" s="924" t="e">
        <f>'Step 2. Production Estimate'!Q108/'Step 2. Production Estimate'!$R108</f>
        <v>#DIV/0!</v>
      </c>
      <c r="O29" s="924" t="e">
        <f>VLOOKUP(B29,ForageProductionModel!$B$52:'ForageProductionModel'!$O$76,14,FALSE)</f>
        <v>#N/A</v>
      </c>
      <c r="P29" s="929"/>
      <c r="Q29" s="1664" t="str">
        <f>IF('Step 2. Production Estimate'!R108="","",'Step 2. Production Estimate'!R108)</f>
        <v/>
      </c>
      <c r="R29" s="44"/>
      <c r="S29" s="202"/>
      <c r="T29" s="202"/>
      <c r="U29" s="202"/>
      <c r="V29" s="202"/>
      <c r="W29" s="202"/>
      <c r="X29" s="202"/>
      <c r="Y29" s="202"/>
      <c r="Z29" s="202"/>
      <c r="AA29" s="202"/>
      <c r="AB29" s="202"/>
      <c r="AC29" s="202"/>
      <c r="AD29" s="202"/>
    </row>
    <row r="30" spans="1:30" ht="16">
      <c r="A30" s="44"/>
      <c r="B30" s="44"/>
      <c r="C30" s="44"/>
      <c r="D30" s="44"/>
      <c r="E30" s="44"/>
      <c r="F30" s="44"/>
      <c r="G30" s="44"/>
      <c r="H30" s="44"/>
      <c r="I30" s="44"/>
      <c r="J30" s="44"/>
      <c r="K30" s="44"/>
      <c r="L30" s="44"/>
      <c r="M30" s="44"/>
      <c r="N30" s="44"/>
      <c r="O30" s="44"/>
      <c r="P30" s="44"/>
      <c r="Q30" s="44"/>
      <c r="R30" s="202"/>
      <c r="S30" s="202"/>
      <c r="T30" s="202"/>
      <c r="U30" s="202"/>
      <c r="V30" s="202"/>
      <c r="W30" s="202"/>
      <c r="X30" s="202"/>
      <c r="Y30" s="202"/>
      <c r="Z30" s="202"/>
      <c r="AA30" s="202"/>
      <c r="AB30" s="202"/>
      <c r="AC30" s="202"/>
      <c r="AD30" s="202"/>
    </row>
    <row r="31" spans="1:30" ht="16">
      <c r="A31" s="44"/>
      <c r="B31" s="44"/>
      <c r="C31" s="44"/>
      <c r="D31" s="44"/>
      <c r="E31" s="44"/>
      <c r="F31" s="44"/>
      <c r="G31" s="44"/>
      <c r="H31" s="44"/>
      <c r="I31" s="44"/>
      <c r="J31" s="44"/>
      <c r="K31" s="44"/>
      <c r="L31" s="44"/>
      <c r="M31" s="44"/>
      <c r="N31" s="44"/>
      <c r="O31" s="44"/>
      <c r="P31" s="44"/>
      <c r="Q31" s="44"/>
      <c r="R31" s="202"/>
      <c r="S31" s="202"/>
      <c r="T31" s="202"/>
      <c r="U31" s="202"/>
      <c r="V31" s="202"/>
      <c r="W31" s="202"/>
      <c r="X31" s="202"/>
      <c r="Y31" s="202"/>
      <c r="Z31" s="202"/>
      <c r="AA31" s="202"/>
      <c r="AB31" s="202"/>
      <c r="AC31" s="202"/>
      <c r="AD31" s="202"/>
    </row>
    <row r="32" spans="1:30">
      <c r="A32" s="202"/>
      <c r="B32" s="202"/>
      <c r="C32" s="202"/>
      <c r="D32" s="202"/>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row>
    <row r="33" spans="1:30">
      <c r="A33" s="202"/>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row>
    <row r="34" spans="1:30">
      <c r="A34" s="202"/>
      <c r="B34" s="202"/>
      <c r="C34" s="202"/>
      <c r="D34" s="202"/>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row>
    <row r="35" spans="1:30">
      <c r="A35" s="202"/>
      <c r="B35" s="202"/>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row>
    <row r="36" spans="1:30">
      <c r="A36" s="202"/>
      <c r="B36" s="202"/>
      <c r="C36" s="202"/>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row>
    <row r="37" spans="1:30">
      <c r="A37" s="202"/>
      <c r="B37" s="202"/>
      <c r="C37" s="202"/>
      <c r="D37" s="202"/>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row>
    <row r="38" spans="1:30">
      <c r="A38" s="202"/>
      <c r="B38" s="202"/>
      <c r="C38" s="202"/>
      <c r="D38" s="202"/>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row>
    <row r="39" spans="1:30">
      <c r="A39" s="202"/>
      <c r="B39" s="202"/>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row>
    <row r="40" spans="1:30">
      <c r="A40" s="202"/>
      <c r="B40" s="202"/>
      <c r="C40" s="202"/>
      <c r="D40" s="202"/>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row>
    <row r="41" spans="1:30">
      <c r="A41" s="202"/>
      <c r="B41" s="202"/>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row>
    <row r="42" spans="1:30">
      <c r="A42" s="202"/>
      <c r="B42" s="202"/>
      <c r="C42" s="202"/>
      <c r="D42" s="202"/>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row>
    <row r="43" spans="1:30">
      <c r="A43" s="202"/>
      <c r="B43" s="202"/>
      <c r="C43" s="202"/>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row>
    <row r="44" spans="1:30">
      <c r="A44" s="202"/>
      <c r="B44" s="202"/>
      <c r="C44" s="202"/>
      <c r="D44" s="202"/>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row>
    <row r="45" spans="1:30">
      <c r="A45" s="202"/>
      <c r="B45" s="202"/>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row>
    <row r="46" spans="1:30">
      <c r="A46" s="202"/>
      <c r="B46" s="202"/>
      <c r="C46" s="202"/>
      <c r="D46" s="202"/>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row>
    <row r="47" spans="1:30">
      <c r="A47" s="202"/>
      <c r="B47" s="202"/>
      <c r="C47" s="202"/>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row>
    <row r="48" spans="1:30">
      <c r="A48" s="202"/>
      <c r="B48" s="202"/>
      <c r="C48" s="202"/>
      <c r="D48" s="202"/>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row>
    <row r="49" spans="1:30">
      <c r="A49" s="202"/>
      <c r="B49" s="202"/>
      <c r="C49" s="202"/>
      <c r="D49" s="202"/>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row>
    <row r="50" spans="1:30">
      <c r="A50" s="202"/>
      <c r="B50" s="202"/>
      <c r="C50" s="202"/>
      <c r="D50" s="202"/>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row>
    <row r="51" spans="1:30">
      <c r="A51" s="202"/>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row>
    <row r="52" spans="1:30">
      <c r="A52" s="202"/>
      <c r="B52" s="202"/>
      <c r="C52" s="202"/>
      <c r="D52" s="202"/>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row>
    <row r="53" spans="1:30">
      <c r="A53" s="202"/>
      <c r="B53" s="202"/>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row>
    <row r="54" spans="1:30">
      <c r="A54" s="202"/>
      <c r="B54" s="202"/>
      <c r="C54" s="202"/>
      <c r="D54" s="202"/>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row>
    <row r="55" spans="1:30">
      <c r="A55" s="202"/>
      <c r="B55" s="202"/>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row>
    <row r="56" spans="1:30">
      <c r="A56" s="202"/>
      <c r="B56" s="202"/>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row>
    <row r="57" spans="1:30">
      <c r="A57" s="202"/>
      <c r="B57" s="202"/>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row>
    <row r="58" spans="1:30">
      <c r="A58" s="202"/>
      <c r="B58" s="202"/>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row>
    <row r="59" spans="1:30">
      <c r="A59" s="202"/>
      <c r="B59" s="202"/>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row>
    <row r="60" spans="1:30">
      <c r="A60" s="202"/>
      <c r="B60" s="202"/>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row>
    <row r="61" spans="1:30">
      <c r="A61" s="202"/>
      <c r="B61" s="202"/>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row>
    <row r="62" spans="1:30">
      <c r="A62" s="202"/>
      <c r="B62" s="202"/>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row>
    <row r="63" spans="1:30">
      <c r="A63" s="202"/>
      <c r="B63" s="202"/>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row>
    <row r="64" spans="1:30">
      <c r="A64" s="202"/>
      <c r="B64" s="202"/>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row>
    <row r="65" spans="1:30">
      <c r="A65" s="202"/>
      <c r="B65" s="202"/>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row>
    <row r="66" spans="1:30">
      <c r="A66" s="202"/>
      <c r="B66" s="202"/>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row>
    <row r="67" spans="1:30">
      <c r="A67" s="202"/>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row>
    <row r="68" spans="1:30">
      <c r="A68" s="202"/>
      <c r="B68" s="202"/>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row>
    <row r="69" spans="1:30">
      <c r="A69" s="202"/>
      <c r="B69" s="202"/>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row>
    <row r="70" spans="1:30">
      <c r="A70" s="202"/>
      <c r="B70" s="202"/>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row>
    <row r="71" spans="1:30">
      <c r="A71" s="202"/>
      <c r="B71" s="202"/>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row>
    <row r="72" spans="1:30">
      <c r="A72" s="202"/>
      <c r="B72" s="202"/>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row>
    <row r="73" spans="1:30">
      <c r="A73" s="202"/>
      <c r="B73" s="202"/>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row>
    <row r="74" spans="1:30">
      <c r="A74" s="202"/>
      <c r="B74" s="202"/>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row>
    <row r="75" spans="1:30">
      <c r="A75" s="202"/>
      <c r="B75" s="202"/>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row>
    <row r="76" spans="1:30">
      <c r="A76" s="202"/>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row>
    <row r="77" spans="1:30">
      <c r="A77" s="202"/>
      <c r="B77" s="202"/>
      <c r="C77" s="202"/>
      <c r="D77" s="202"/>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row>
    <row r="78" spans="1:30">
      <c r="A78" s="202"/>
      <c r="B78" s="202"/>
      <c r="C78" s="202"/>
      <c r="D78" s="202"/>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row>
    <row r="79" spans="1:30">
      <c r="A79" s="202"/>
      <c r="B79" s="202"/>
      <c r="C79" s="202"/>
      <c r="D79" s="202"/>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row>
    <row r="80" spans="1:30">
      <c r="A80" s="202"/>
      <c r="B80" s="202"/>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row>
    <row r="81" spans="1:30">
      <c r="A81" s="202"/>
      <c r="B81" s="202"/>
      <c r="C81" s="202"/>
      <c r="D81" s="202"/>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row>
    <row r="82" spans="1:30">
      <c r="A82" s="202"/>
      <c r="B82" s="202"/>
      <c r="C82" s="202"/>
      <c r="D82" s="202"/>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row>
    <row r="83" spans="1:30">
      <c r="A83" s="202"/>
      <c r="B83" s="202"/>
      <c r="C83" s="202"/>
      <c r="D83" s="202"/>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row>
    <row r="84" spans="1:30">
      <c r="A84" s="202"/>
      <c r="B84" s="202"/>
      <c r="C84" s="202"/>
      <c r="D84" s="202"/>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row>
    <row r="85" spans="1:30">
      <c r="A85" s="202"/>
      <c r="B85" s="202"/>
      <c r="C85" s="202"/>
      <c r="D85" s="202"/>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row>
    <row r="86" spans="1:30">
      <c r="A86" s="202"/>
      <c r="B86" s="202"/>
      <c r="C86" s="202"/>
      <c r="D86" s="202"/>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row>
    <row r="87" spans="1:30">
      <c r="A87" s="202"/>
      <c r="B87" s="202"/>
      <c r="C87" s="202"/>
      <c r="D87" s="202"/>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row>
    <row r="88" spans="1:30">
      <c r="A88" s="202"/>
      <c r="B88" s="202"/>
      <c r="C88" s="202"/>
      <c r="D88" s="202"/>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row>
    <row r="89" spans="1:30">
      <c r="A89" s="202"/>
      <c r="B89" s="202"/>
      <c r="C89" s="202"/>
      <c r="D89" s="202"/>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row>
    <row r="90" spans="1:30">
      <c r="A90" s="202"/>
      <c r="B90" s="202"/>
      <c r="C90" s="202"/>
      <c r="D90" s="202"/>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row>
    <row r="91" spans="1:30">
      <c r="A91" s="202"/>
      <c r="B91" s="202"/>
      <c r="C91" s="202"/>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row>
    <row r="92" spans="1:30">
      <c r="A92" s="202"/>
      <c r="B92" s="202"/>
      <c r="C92" s="202"/>
      <c r="D92" s="202"/>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row>
    <row r="93" spans="1:30">
      <c r="A93" s="202"/>
      <c r="B93" s="202"/>
      <c r="C93" s="202"/>
      <c r="D93" s="202"/>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row>
    <row r="94" spans="1:30">
      <c r="A94" s="202"/>
      <c r="B94" s="202"/>
      <c r="C94" s="202"/>
      <c r="D94" s="202"/>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row>
    <row r="95" spans="1:30">
      <c r="A95" s="202"/>
      <c r="B95" s="202"/>
      <c r="C95" s="202"/>
      <c r="D95" s="202"/>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row>
    <row r="96" spans="1:30">
      <c r="A96" s="202"/>
      <c r="B96" s="202"/>
      <c r="C96" s="202"/>
      <c r="D96" s="202"/>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row>
    <row r="97" spans="1:30">
      <c r="A97" s="202"/>
      <c r="B97" s="202"/>
      <c r="C97" s="202"/>
      <c r="D97" s="202"/>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row>
    <row r="98" spans="1:30">
      <c r="A98" s="202"/>
      <c r="B98" s="202"/>
      <c r="C98" s="202"/>
      <c r="D98" s="202"/>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row>
    <row r="99" spans="1:30">
      <c r="A99" s="202"/>
      <c r="B99" s="202"/>
      <c r="C99" s="202"/>
      <c r="D99" s="202"/>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row>
    <row r="100" spans="1:30">
      <c r="A100" s="202"/>
      <c r="B100" s="202"/>
      <c r="C100" s="202"/>
      <c r="D100" s="202"/>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row>
    <row r="101" spans="1:30">
      <c r="A101" s="202"/>
      <c r="B101" s="202"/>
      <c r="C101" s="202"/>
      <c r="D101" s="202"/>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row>
    <row r="102" spans="1:30">
      <c r="A102" s="202"/>
      <c r="B102" s="202"/>
      <c r="C102" s="202"/>
      <c r="D102" s="202"/>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row>
    <row r="103" spans="1:30">
      <c r="A103" s="202"/>
      <c r="B103" s="202"/>
      <c r="C103" s="202"/>
      <c r="D103" s="202"/>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row>
    <row r="104" spans="1:30">
      <c r="A104" s="202"/>
      <c r="B104" s="202"/>
      <c r="C104" s="202"/>
      <c r="D104" s="202"/>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row>
    <row r="105" spans="1:30">
      <c r="A105" s="202"/>
      <c r="B105" s="202"/>
      <c r="C105" s="202"/>
      <c r="D105" s="202"/>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row>
    <row r="106" spans="1:30">
      <c r="A106" s="202"/>
      <c r="B106" s="202"/>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row>
    <row r="107" spans="1:30">
      <c r="A107" s="202"/>
      <c r="B107" s="202"/>
      <c r="C107" s="202"/>
      <c r="D107" s="202"/>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row>
    <row r="108" spans="1:30">
      <c r="A108" s="202"/>
      <c r="B108" s="202"/>
      <c r="C108" s="202"/>
      <c r="D108" s="202"/>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row>
    <row r="109" spans="1:30">
      <c r="A109" s="202"/>
      <c r="B109" s="202"/>
      <c r="C109" s="202"/>
      <c r="D109" s="202"/>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row>
    <row r="110" spans="1:30">
      <c r="A110" s="202"/>
      <c r="B110" s="202"/>
      <c r="C110" s="202"/>
      <c r="D110" s="202"/>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row>
    <row r="111" spans="1:30">
      <c r="A111" s="202"/>
      <c r="B111" s="202"/>
      <c r="C111" s="202"/>
      <c r="D111" s="202"/>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row>
    <row r="112" spans="1:30">
      <c r="A112" s="202"/>
      <c r="B112" s="202"/>
      <c r="C112" s="202"/>
      <c r="D112" s="202"/>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row>
    <row r="113" spans="1:30">
      <c r="A113" s="202"/>
      <c r="B113" s="202"/>
      <c r="C113" s="202"/>
      <c r="D113" s="202"/>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row>
    <row r="114" spans="1:30">
      <c r="A114" s="202"/>
      <c r="B114" s="202"/>
      <c r="C114" s="202"/>
      <c r="D114" s="202"/>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row>
    <row r="115" spans="1:30">
      <c r="A115" s="202"/>
      <c r="B115" s="202"/>
      <c r="C115" s="202"/>
      <c r="D115" s="202"/>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row>
    <row r="116" spans="1:30">
      <c r="A116" s="202"/>
      <c r="B116" s="202"/>
      <c r="C116" s="202"/>
      <c r="D116" s="202"/>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row>
  </sheetData>
  <mergeCells count="2">
    <mergeCell ref="A2:P2"/>
    <mergeCell ref="A3:P3"/>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C7D01-8064-4EC6-9ABD-F19172767C31}">
  <sheetPr codeName="Sheet27"/>
  <dimension ref="A1:M67"/>
  <sheetViews>
    <sheetView workbookViewId="0">
      <selection activeCell="B53" sqref="B53:K53"/>
    </sheetView>
  </sheetViews>
  <sheetFormatPr baseColWidth="10" defaultColWidth="6.83203125" defaultRowHeight="13"/>
  <cols>
    <col min="1" max="1" width="21.6640625" style="37" customWidth="1"/>
    <col min="2" max="4" width="7.83203125" style="37" customWidth="1"/>
    <col min="5" max="5" width="7.5" style="37" customWidth="1"/>
    <col min="6" max="11" width="7.83203125" style="37" customWidth="1"/>
    <col min="12" max="256" width="6.83203125" style="37"/>
    <col min="257" max="257" width="21.6640625" style="37" customWidth="1"/>
    <col min="258" max="260" width="7.83203125" style="37" customWidth="1"/>
    <col min="261" max="261" width="7.5" style="37" customWidth="1"/>
    <col min="262" max="267" width="7.83203125" style="37" customWidth="1"/>
    <col min="268" max="512" width="6.83203125" style="37"/>
    <col min="513" max="513" width="21.6640625" style="37" customWidth="1"/>
    <col min="514" max="516" width="7.83203125" style="37" customWidth="1"/>
    <col min="517" max="517" width="7.5" style="37" customWidth="1"/>
    <col min="518" max="523" width="7.83203125" style="37" customWidth="1"/>
    <col min="524" max="768" width="6.83203125" style="37"/>
    <col min="769" max="769" width="21.6640625" style="37" customWidth="1"/>
    <col min="770" max="772" width="7.83203125" style="37" customWidth="1"/>
    <col min="773" max="773" width="7.5" style="37" customWidth="1"/>
    <col min="774" max="779" width="7.83203125" style="37" customWidth="1"/>
    <col min="780" max="1024" width="6.83203125" style="37"/>
    <col min="1025" max="1025" width="21.6640625" style="37" customWidth="1"/>
    <col min="1026" max="1028" width="7.83203125" style="37" customWidth="1"/>
    <col min="1029" max="1029" width="7.5" style="37" customWidth="1"/>
    <col min="1030" max="1035" width="7.83203125" style="37" customWidth="1"/>
    <col min="1036" max="1280" width="6.83203125" style="37"/>
    <col min="1281" max="1281" width="21.6640625" style="37" customWidth="1"/>
    <col min="1282" max="1284" width="7.83203125" style="37" customWidth="1"/>
    <col min="1285" max="1285" width="7.5" style="37" customWidth="1"/>
    <col min="1286" max="1291" width="7.83203125" style="37" customWidth="1"/>
    <col min="1292" max="1536" width="6.83203125" style="37"/>
    <col min="1537" max="1537" width="21.6640625" style="37" customWidth="1"/>
    <col min="1538" max="1540" width="7.83203125" style="37" customWidth="1"/>
    <col min="1541" max="1541" width="7.5" style="37" customWidth="1"/>
    <col min="1542" max="1547" width="7.83203125" style="37" customWidth="1"/>
    <col min="1548" max="1792" width="6.83203125" style="37"/>
    <col min="1793" max="1793" width="21.6640625" style="37" customWidth="1"/>
    <col min="1794" max="1796" width="7.83203125" style="37" customWidth="1"/>
    <col min="1797" max="1797" width="7.5" style="37" customWidth="1"/>
    <col min="1798" max="1803" width="7.83203125" style="37" customWidth="1"/>
    <col min="1804" max="2048" width="6.83203125" style="37"/>
    <col min="2049" max="2049" width="21.6640625" style="37" customWidth="1"/>
    <col min="2050" max="2052" width="7.83203125" style="37" customWidth="1"/>
    <col min="2053" max="2053" width="7.5" style="37" customWidth="1"/>
    <col min="2054" max="2059" width="7.83203125" style="37" customWidth="1"/>
    <col min="2060" max="2304" width="6.83203125" style="37"/>
    <col min="2305" max="2305" width="21.6640625" style="37" customWidth="1"/>
    <col min="2306" max="2308" width="7.83203125" style="37" customWidth="1"/>
    <col min="2309" max="2309" width="7.5" style="37" customWidth="1"/>
    <col min="2310" max="2315" width="7.83203125" style="37" customWidth="1"/>
    <col min="2316" max="2560" width="6.83203125" style="37"/>
    <col min="2561" max="2561" width="21.6640625" style="37" customWidth="1"/>
    <col min="2562" max="2564" width="7.83203125" style="37" customWidth="1"/>
    <col min="2565" max="2565" width="7.5" style="37" customWidth="1"/>
    <col min="2566" max="2571" width="7.83203125" style="37" customWidth="1"/>
    <col min="2572" max="2816" width="6.83203125" style="37"/>
    <col min="2817" max="2817" width="21.6640625" style="37" customWidth="1"/>
    <col min="2818" max="2820" width="7.83203125" style="37" customWidth="1"/>
    <col min="2821" max="2821" width="7.5" style="37" customWidth="1"/>
    <col min="2822" max="2827" width="7.83203125" style="37" customWidth="1"/>
    <col min="2828" max="3072" width="6.83203125" style="37"/>
    <col min="3073" max="3073" width="21.6640625" style="37" customWidth="1"/>
    <col min="3074" max="3076" width="7.83203125" style="37" customWidth="1"/>
    <col min="3077" max="3077" width="7.5" style="37" customWidth="1"/>
    <col min="3078" max="3083" width="7.83203125" style="37" customWidth="1"/>
    <col min="3084" max="3328" width="6.83203125" style="37"/>
    <col min="3329" max="3329" width="21.6640625" style="37" customWidth="1"/>
    <col min="3330" max="3332" width="7.83203125" style="37" customWidth="1"/>
    <col min="3333" max="3333" width="7.5" style="37" customWidth="1"/>
    <col min="3334" max="3339" width="7.83203125" style="37" customWidth="1"/>
    <col min="3340" max="3584" width="6.83203125" style="37"/>
    <col min="3585" max="3585" width="21.6640625" style="37" customWidth="1"/>
    <col min="3586" max="3588" width="7.83203125" style="37" customWidth="1"/>
    <col min="3589" max="3589" width="7.5" style="37" customWidth="1"/>
    <col min="3590" max="3595" width="7.83203125" style="37" customWidth="1"/>
    <col min="3596" max="3840" width="6.83203125" style="37"/>
    <col min="3841" max="3841" width="21.6640625" style="37" customWidth="1"/>
    <col min="3842" max="3844" width="7.83203125" style="37" customWidth="1"/>
    <col min="3845" max="3845" width="7.5" style="37" customWidth="1"/>
    <col min="3846" max="3851" width="7.83203125" style="37" customWidth="1"/>
    <col min="3852" max="4096" width="6.83203125" style="37"/>
    <col min="4097" max="4097" width="21.6640625" style="37" customWidth="1"/>
    <col min="4098" max="4100" width="7.83203125" style="37" customWidth="1"/>
    <col min="4101" max="4101" width="7.5" style="37" customWidth="1"/>
    <col min="4102" max="4107" width="7.83203125" style="37" customWidth="1"/>
    <col min="4108" max="4352" width="6.83203125" style="37"/>
    <col min="4353" max="4353" width="21.6640625" style="37" customWidth="1"/>
    <col min="4354" max="4356" width="7.83203125" style="37" customWidth="1"/>
    <col min="4357" max="4357" width="7.5" style="37" customWidth="1"/>
    <col min="4358" max="4363" width="7.83203125" style="37" customWidth="1"/>
    <col min="4364" max="4608" width="6.83203125" style="37"/>
    <col min="4609" max="4609" width="21.6640625" style="37" customWidth="1"/>
    <col min="4610" max="4612" width="7.83203125" style="37" customWidth="1"/>
    <col min="4613" max="4613" width="7.5" style="37" customWidth="1"/>
    <col min="4614" max="4619" width="7.83203125" style="37" customWidth="1"/>
    <col min="4620" max="4864" width="6.83203125" style="37"/>
    <col min="4865" max="4865" width="21.6640625" style="37" customWidth="1"/>
    <col min="4866" max="4868" width="7.83203125" style="37" customWidth="1"/>
    <col min="4869" max="4869" width="7.5" style="37" customWidth="1"/>
    <col min="4870" max="4875" width="7.83203125" style="37" customWidth="1"/>
    <col min="4876" max="5120" width="6.83203125" style="37"/>
    <col min="5121" max="5121" width="21.6640625" style="37" customWidth="1"/>
    <col min="5122" max="5124" width="7.83203125" style="37" customWidth="1"/>
    <col min="5125" max="5125" width="7.5" style="37" customWidth="1"/>
    <col min="5126" max="5131" width="7.83203125" style="37" customWidth="1"/>
    <col min="5132" max="5376" width="6.83203125" style="37"/>
    <col min="5377" max="5377" width="21.6640625" style="37" customWidth="1"/>
    <col min="5378" max="5380" width="7.83203125" style="37" customWidth="1"/>
    <col min="5381" max="5381" width="7.5" style="37" customWidth="1"/>
    <col min="5382" max="5387" width="7.83203125" style="37" customWidth="1"/>
    <col min="5388" max="5632" width="6.83203125" style="37"/>
    <col min="5633" max="5633" width="21.6640625" style="37" customWidth="1"/>
    <col min="5634" max="5636" width="7.83203125" style="37" customWidth="1"/>
    <col min="5637" max="5637" width="7.5" style="37" customWidth="1"/>
    <col min="5638" max="5643" width="7.83203125" style="37" customWidth="1"/>
    <col min="5644" max="5888" width="6.83203125" style="37"/>
    <col min="5889" max="5889" width="21.6640625" style="37" customWidth="1"/>
    <col min="5890" max="5892" width="7.83203125" style="37" customWidth="1"/>
    <col min="5893" max="5893" width="7.5" style="37" customWidth="1"/>
    <col min="5894" max="5899" width="7.83203125" style="37" customWidth="1"/>
    <col min="5900" max="6144" width="6.83203125" style="37"/>
    <col min="6145" max="6145" width="21.6640625" style="37" customWidth="1"/>
    <col min="6146" max="6148" width="7.83203125" style="37" customWidth="1"/>
    <col min="6149" max="6149" width="7.5" style="37" customWidth="1"/>
    <col min="6150" max="6155" width="7.83203125" style="37" customWidth="1"/>
    <col min="6156" max="6400" width="6.83203125" style="37"/>
    <col min="6401" max="6401" width="21.6640625" style="37" customWidth="1"/>
    <col min="6402" max="6404" width="7.83203125" style="37" customWidth="1"/>
    <col min="6405" max="6405" width="7.5" style="37" customWidth="1"/>
    <col min="6406" max="6411" width="7.83203125" style="37" customWidth="1"/>
    <col min="6412" max="6656" width="6.83203125" style="37"/>
    <col min="6657" max="6657" width="21.6640625" style="37" customWidth="1"/>
    <col min="6658" max="6660" width="7.83203125" style="37" customWidth="1"/>
    <col min="6661" max="6661" width="7.5" style="37" customWidth="1"/>
    <col min="6662" max="6667" width="7.83203125" style="37" customWidth="1"/>
    <col min="6668" max="6912" width="6.83203125" style="37"/>
    <col min="6913" max="6913" width="21.6640625" style="37" customWidth="1"/>
    <col min="6914" max="6916" width="7.83203125" style="37" customWidth="1"/>
    <col min="6917" max="6917" width="7.5" style="37" customWidth="1"/>
    <col min="6918" max="6923" width="7.83203125" style="37" customWidth="1"/>
    <col min="6924" max="7168" width="6.83203125" style="37"/>
    <col min="7169" max="7169" width="21.6640625" style="37" customWidth="1"/>
    <col min="7170" max="7172" width="7.83203125" style="37" customWidth="1"/>
    <col min="7173" max="7173" width="7.5" style="37" customWidth="1"/>
    <col min="7174" max="7179" width="7.83203125" style="37" customWidth="1"/>
    <col min="7180" max="7424" width="6.83203125" style="37"/>
    <col min="7425" max="7425" width="21.6640625" style="37" customWidth="1"/>
    <col min="7426" max="7428" width="7.83203125" style="37" customWidth="1"/>
    <col min="7429" max="7429" width="7.5" style="37" customWidth="1"/>
    <col min="7430" max="7435" width="7.83203125" style="37" customWidth="1"/>
    <col min="7436" max="7680" width="6.83203125" style="37"/>
    <col min="7681" max="7681" width="21.6640625" style="37" customWidth="1"/>
    <col min="7682" max="7684" width="7.83203125" style="37" customWidth="1"/>
    <col min="7685" max="7685" width="7.5" style="37" customWidth="1"/>
    <col min="7686" max="7691" width="7.83203125" style="37" customWidth="1"/>
    <col min="7692" max="7936" width="6.83203125" style="37"/>
    <col min="7937" max="7937" width="21.6640625" style="37" customWidth="1"/>
    <col min="7938" max="7940" width="7.83203125" style="37" customWidth="1"/>
    <col min="7941" max="7941" width="7.5" style="37" customWidth="1"/>
    <col min="7942" max="7947" width="7.83203125" style="37" customWidth="1"/>
    <col min="7948" max="8192" width="6.83203125" style="37"/>
    <col min="8193" max="8193" width="21.6640625" style="37" customWidth="1"/>
    <col min="8194" max="8196" width="7.83203125" style="37" customWidth="1"/>
    <col min="8197" max="8197" width="7.5" style="37" customWidth="1"/>
    <col min="8198" max="8203" width="7.83203125" style="37" customWidth="1"/>
    <col min="8204" max="8448" width="6.83203125" style="37"/>
    <col min="8449" max="8449" width="21.6640625" style="37" customWidth="1"/>
    <col min="8450" max="8452" width="7.83203125" style="37" customWidth="1"/>
    <col min="8453" max="8453" width="7.5" style="37" customWidth="1"/>
    <col min="8454" max="8459" width="7.83203125" style="37" customWidth="1"/>
    <col min="8460" max="8704" width="6.83203125" style="37"/>
    <col min="8705" max="8705" width="21.6640625" style="37" customWidth="1"/>
    <col min="8706" max="8708" width="7.83203125" style="37" customWidth="1"/>
    <col min="8709" max="8709" width="7.5" style="37" customWidth="1"/>
    <col min="8710" max="8715" width="7.83203125" style="37" customWidth="1"/>
    <col min="8716" max="8960" width="6.83203125" style="37"/>
    <col min="8961" max="8961" width="21.6640625" style="37" customWidth="1"/>
    <col min="8962" max="8964" width="7.83203125" style="37" customWidth="1"/>
    <col min="8965" max="8965" width="7.5" style="37" customWidth="1"/>
    <col min="8966" max="8971" width="7.83203125" style="37" customWidth="1"/>
    <col min="8972" max="9216" width="6.83203125" style="37"/>
    <col min="9217" max="9217" width="21.6640625" style="37" customWidth="1"/>
    <col min="9218" max="9220" width="7.83203125" style="37" customWidth="1"/>
    <col min="9221" max="9221" width="7.5" style="37" customWidth="1"/>
    <col min="9222" max="9227" width="7.83203125" style="37" customWidth="1"/>
    <col min="9228" max="9472" width="6.83203125" style="37"/>
    <col min="9473" max="9473" width="21.6640625" style="37" customWidth="1"/>
    <col min="9474" max="9476" width="7.83203125" style="37" customWidth="1"/>
    <col min="9477" max="9477" width="7.5" style="37" customWidth="1"/>
    <col min="9478" max="9483" width="7.83203125" style="37" customWidth="1"/>
    <col min="9484" max="9728" width="6.83203125" style="37"/>
    <col min="9729" max="9729" width="21.6640625" style="37" customWidth="1"/>
    <col min="9730" max="9732" width="7.83203125" style="37" customWidth="1"/>
    <col min="9733" max="9733" width="7.5" style="37" customWidth="1"/>
    <col min="9734" max="9739" width="7.83203125" style="37" customWidth="1"/>
    <col min="9740" max="9984" width="6.83203125" style="37"/>
    <col min="9985" max="9985" width="21.6640625" style="37" customWidth="1"/>
    <col min="9986" max="9988" width="7.83203125" style="37" customWidth="1"/>
    <col min="9989" max="9989" width="7.5" style="37" customWidth="1"/>
    <col min="9990" max="9995" width="7.83203125" style="37" customWidth="1"/>
    <col min="9996" max="10240" width="6.83203125" style="37"/>
    <col min="10241" max="10241" width="21.6640625" style="37" customWidth="1"/>
    <col min="10242" max="10244" width="7.83203125" style="37" customWidth="1"/>
    <col min="10245" max="10245" width="7.5" style="37" customWidth="1"/>
    <col min="10246" max="10251" width="7.83203125" style="37" customWidth="1"/>
    <col min="10252" max="10496" width="6.83203125" style="37"/>
    <col min="10497" max="10497" width="21.6640625" style="37" customWidth="1"/>
    <col min="10498" max="10500" width="7.83203125" style="37" customWidth="1"/>
    <col min="10501" max="10501" width="7.5" style="37" customWidth="1"/>
    <col min="10502" max="10507" width="7.83203125" style="37" customWidth="1"/>
    <col min="10508" max="10752" width="6.83203125" style="37"/>
    <col min="10753" max="10753" width="21.6640625" style="37" customWidth="1"/>
    <col min="10754" max="10756" width="7.83203125" style="37" customWidth="1"/>
    <col min="10757" max="10757" width="7.5" style="37" customWidth="1"/>
    <col min="10758" max="10763" width="7.83203125" style="37" customWidth="1"/>
    <col min="10764" max="11008" width="6.83203125" style="37"/>
    <col min="11009" max="11009" width="21.6640625" style="37" customWidth="1"/>
    <col min="11010" max="11012" width="7.83203125" style="37" customWidth="1"/>
    <col min="11013" max="11013" width="7.5" style="37" customWidth="1"/>
    <col min="11014" max="11019" width="7.83203125" style="37" customWidth="1"/>
    <col min="11020" max="11264" width="6.83203125" style="37"/>
    <col min="11265" max="11265" width="21.6640625" style="37" customWidth="1"/>
    <col min="11266" max="11268" width="7.83203125" style="37" customWidth="1"/>
    <col min="11269" max="11269" width="7.5" style="37" customWidth="1"/>
    <col min="11270" max="11275" width="7.83203125" style="37" customWidth="1"/>
    <col min="11276" max="11520" width="6.83203125" style="37"/>
    <col min="11521" max="11521" width="21.6640625" style="37" customWidth="1"/>
    <col min="11522" max="11524" width="7.83203125" style="37" customWidth="1"/>
    <col min="11525" max="11525" width="7.5" style="37" customWidth="1"/>
    <col min="11526" max="11531" width="7.83203125" style="37" customWidth="1"/>
    <col min="11532" max="11776" width="6.83203125" style="37"/>
    <col min="11777" max="11777" width="21.6640625" style="37" customWidth="1"/>
    <col min="11778" max="11780" width="7.83203125" style="37" customWidth="1"/>
    <col min="11781" max="11781" width="7.5" style="37" customWidth="1"/>
    <col min="11782" max="11787" width="7.83203125" style="37" customWidth="1"/>
    <col min="11788" max="12032" width="6.83203125" style="37"/>
    <col min="12033" max="12033" width="21.6640625" style="37" customWidth="1"/>
    <col min="12034" max="12036" width="7.83203125" style="37" customWidth="1"/>
    <col min="12037" max="12037" width="7.5" style="37" customWidth="1"/>
    <col min="12038" max="12043" width="7.83203125" style="37" customWidth="1"/>
    <col min="12044" max="12288" width="6.83203125" style="37"/>
    <col min="12289" max="12289" width="21.6640625" style="37" customWidth="1"/>
    <col min="12290" max="12292" width="7.83203125" style="37" customWidth="1"/>
    <col min="12293" max="12293" width="7.5" style="37" customWidth="1"/>
    <col min="12294" max="12299" width="7.83203125" style="37" customWidth="1"/>
    <col min="12300" max="12544" width="6.83203125" style="37"/>
    <col min="12545" max="12545" width="21.6640625" style="37" customWidth="1"/>
    <col min="12546" max="12548" width="7.83203125" style="37" customWidth="1"/>
    <col min="12549" max="12549" width="7.5" style="37" customWidth="1"/>
    <col min="12550" max="12555" width="7.83203125" style="37" customWidth="1"/>
    <col min="12556" max="12800" width="6.83203125" style="37"/>
    <col min="12801" max="12801" width="21.6640625" style="37" customWidth="1"/>
    <col min="12802" max="12804" width="7.83203125" style="37" customWidth="1"/>
    <col min="12805" max="12805" width="7.5" style="37" customWidth="1"/>
    <col min="12806" max="12811" width="7.83203125" style="37" customWidth="1"/>
    <col min="12812" max="13056" width="6.83203125" style="37"/>
    <col min="13057" max="13057" width="21.6640625" style="37" customWidth="1"/>
    <col min="13058" max="13060" width="7.83203125" style="37" customWidth="1"/>
    <col min="13061" max="13061" width="7.5" style="37" customWidth="1"/>
    <col min="13062" max="13067" width="7.83203125" style="37" customWidth="1"/>
    <col min="13068" max="13312" width="6.83203125" style="37"/>
    <col min="13313" max="13313" width="21.6640625" style="37" customWidth="1"/>
    <col min="13314" max="13316" width="7.83203125" style="37" customWidth="1"/>
    <col min="13317" max="13317" width="7.5" style="37" customWidth="1"/>
    <col min="13318" max="13323" width="7.83203125" style="37" customWidth="1"/>
    <col min="13324" max="13568" width="6.83203125" style="37"/>
    <col min="13569" max="13569" width="21.6640625" style="37" customWidth="1"/>
    <col min="13570" max="13572" width="7.83203125" style="37" customWidth="1"/>
    <col min="13573" max="13573" width="7.5" style="37" customWidth="1"/>
    <col min="13574" max="13579" width="7.83203125" style="37" customWidth="1"/>
    <col min="13580" max="13824" width="6.83203125" style="37"/>
    <col min="13825" max="13825" width="21.6640625" style="37" customWidth="1"/>
    <col min="13826" max="13828" width="7.83203125" style="37" customWidth="1"/>
    <col min="13829" max="13829" width="7.5" style="37" customWidth="1"/>
    <col min="13830" max="13835" width="7.83203125" style="37" customWidth="1"/>
    <col min="13836" max="14080" width="6.83203125" style="37"/>
    <col min="14081" max="14081" width="21.6640625" style="37" customWidth="1"/>
    <col min="14082" max="14084" width="7.83203125" style="37" customWidth="1"/>
    <col min="14085" max="14085" width="7.5" style="37" customWidth="1"/>
    <col min="14086" max="14091" width="7.83203125" style="37" customWidth="1"/>
    <col min="14092" max="14336" width="6.83203125" style="37"/>
    <col min="14337" max="14337" width="21.6640625" style="37" customWidth="1"/>
    <col min="14338" max="14340" width="7.83203125" style="37" customWidth="1"/>
    <col min="14341" max="14341" width="7.5" style="37" customWidth="1"/>
    <col min="14342" max="14347" width="7.83203125" style="37" customWidth="1"/>
    <col min="14348" max="14592" width="6.83203125" style="37"/>
    <col min="14593" max="14593" width="21.6640625" style="37" customWidth="1"/>
    <col min="14594" max="14596" width="7.83203125" style="37" customWidth="1"/>
    <col min="14597" max="14597" width="7.5" style="37" customWidth="1"/>
    <col min="14598" max="14603" width="7.83203125" style="37" customWidth="1"/>
    <col min="14604" max="14848" width="6.83203125" style="37"/>
    <col min="14849" max="14849" width="21.6640625" style="37" customWidth="1"/>
    <col min="14850" max="14852" width="7.83203125" style="37" customWidth="1"/>
    <col min="14853" max="14853" width="7.5" style="37" customWidth="1"/>
    <col min="14854" max="14859" width="7.83203125" style="37" customWidth="1"/>
    <col min="14860" max="15104" width="6.83203125" style="37"/>
    <col min="15105" max="15105" width="21.6640625" style="37" customWidth="1"/>
    <col min="15106" max="15108" width="7.83203125" style="37" customWidth="1"/>
    <col min="15109" max="15109" width="7.5" style="37" customWidth="1"/>
    <col min="15110" max="15115" width="7.83203125" style="37" customWidth="1"/>
    <col min="15116" max="15360" width="6.83203125" style="37"/>
    <col min="15361" max="15361" width="21.6640625" style="37" customWidth="1"/>
    <col min="15362" max="15364" width="7.83203125" style="37" customWidth="1"/>
    <col min="15365" max="15365" width="7.5" style="37" customWidth="1"/>
    <col min="15366" max="15371" width="7.83203125" style="37" customWidth="1"/>
    <col min="15372" max="15616" width="6.83203125" style="37"/>
    <col min="15617" max="15617" width="21.6640625" style="37" customWidth="1"/>
    <col min="15618" max="15620" width="7.83203125" style="37" customWidth="1"/>
    <col min="15621" max="15621" width="7.5" style="37" customWidth="1"/>
    <col min="15622" max="15627" width="7.83203125" style="37" customWidth="1"/>
    <col min="15628" max="15872" width="6.83203125" style="37"/>
    <col min="15873" max="15873" width="21.6640625" style="37" customWidth="1"/>
    <col min="15874" max="15876" width="7.83203125" style="37" customWidth="1"/>
    <col min="15877" max="15877" width="7.5" style="37" customWidth="1"/>
    <col min="15878" max="15883" width="7.83203125" style="37" customWidth="1"/>
    <col min="15884" max="16128" width="6.83203125" style="37"/>
    <col min="16129" max="16129" width="21.6640625" style="37" customWidth="1"/>
    <col min="16130" max="16132" width="7.83203125" style="37" customWidth="1"/>
    <col min="16133" max="16133" width="7.5" style="37" customWidth="1"/>
    <col min="16134" max="16139" width="7.83203125" style="37" customWidth="1"/>
    <col min="16140" max="16384" width="6.83203125" style="37"/>
  </cols>
  <sheetData>
    <row r="1" spans="1:13" ht="18">
      <c r="A1" s="2544" t="s">
        <v>3126</v>
      </c>
      <c r="B1" s="2544"/>
      <c r="C1" s="2544"/>
      <c r="D1" s="2544"/>
      <c r="E1" s="2544"/>
      <c r="F1" s="2544"/>
      <c r="G1" s="2544"/>
      <c r="H1" s="2544"/>
      <c r="I1" s="2544"/>
      <c r="J1" s="2544"/>
      <c r="K1" s="2544"/>
    </row>
    <row r="2" spans="1:13" ht="14">
      <c r="A2" s="1663" t="s">
        <v>3125</v>
      </c>
      <c r="B2" s="2532"/>
      <c r="C2" s="2532"/>
      <c r="D2" s="2532"/>
      <c r="E2" s="2532"/>
      <c r="F2" s="2440" t="s">
        <v>3124</v>
      </c>
      <c r="G2" s="2440"/>
      <c r="H2" s="2532"/>
      <c r="I2" s="2532"/>
      <c r="J2" s="2532"/>
      <c r="K2" s="2532"/>
      <c r="L2" s="1410"/>
      <c r="M2" s="1410"/>
    </row>
    <row r="3" spans="1:13" ht="28">
      <c r="A3" s="1663" t="s">
        <v>3123</v>
      </c>
      <c r="B3" s="2531"/>
      <c r="C3" s="2531"/>
      <c r="D3" s="2531"/>
      <c r="E3" s="2531"/>
      <c r="F3" s="2440" t="s">
        <v>3122</v>
      </c>
      <c r="G3" s="2440"/>
      <c r="H3" s="2531"/>
      <c r="I3" s="2531"/>
      <c r="J3" s="2531"/>
      <c r="K3" s="2531"/>
      <c r="L3" s="1410"/>
      <c r="M3" s="1410"/>
    </row>
    <row r="4" spans="1:13" ht="14">
      <c r="A4" s="1663" t="s">
        <v>3121</v>
      </c>
      <c r="B4" s="2531"/>
      <c r="C4" s="2531"/>
      <c r="D4" s="2531"/>
      <c r="E4" s="2531"/>
      <c r="F4" s="2440" t="s">
        <v>3120</v>
      </c>
      <c r="G4" s="2440"/>
      <c r="H4" s="2531"/>
      <c r="I4" s="2531"/>
      <c r="J4" s="2531"/>
      <c r="K4" s="2531"/>
      <c r="L4" s="1410"/>
      <c r="M4" s="1410"/>
    </row>
    <row r="5" spans="1:13" ht="28">
      <c r="A5" s="1663" t="s">
        <v>3119</v>
      </c>
      <c r="B5" s="2532"/>
      <c r="C5" s="2532"/>
      <c r="D5" s="2532"/>
      <c r="E5" s="2532"/>
      <c r="F5" s="2532"/>
      <c r="G5" s="2532"/>
      <c r="H5" s="2532"/>
      <c r="I5" s="2532"/>
      <c r="J5" s="2532"/>
      <c r="K5" s="2532"/>
      <c r="L5" s="1410"/>
      <c r="M5" s="1410"/>
    </row>
    <row r="6" spans="1:13">
      <c r="A6" s="2533"/>
      <c r="B6" s="2533"/>
      <c r="C6" s="2533"/>
      <c r="D6" s="2533"/>
      <c r="E6" s="2533"/>
      <c r="F6" s="2533"/>
      <c r="G6" s="2533"/>
      <c r="H6" s="2533"/>
      <c r="I6" s="2533"/>
      <c r="J6" s="2533"/>
      <c r="K6" s="2533"/>
    </row>
    <row r="7" spans="1:13" ht="16">
      <c r="A7" s="2536" t="s">
        <v>3118</v>
      </c>
      <c r="B7" s="2538" t="s">
        <v>3096</v>
      </c>
      <c r="C7" s="2538"/>
      <c r="D7" s="2538"/>
      <c r="F7" s="2538" t="s">
        <v>3085</v>
      </c>
      <c r="G7" s="2538"/>
      <c r="H7" s="2538"/>
      <c r="I7" s="2538"/>
      <c r="J7" s="2538"/>
      <c r="K7" s="2538"/>
    </row>
    <row r="8" spans="1:13" ht="14">
      <c r="A8" s="2537"/>
      <c r="B8" s="2539" t="s">
        <v>3117</v>
      </c>
      <c r="C8" s="2539"/>
      <c r="D8" s="2539"/>
      <c r="F8" s="2540" t="s">
        <v>3116</v>
      </c>
      <c r="G8" s="2541"/>
      <c r="H8" s="2542"/>
      <c r="I8" s="2543" t="s">
        <v>3115</v>
      </c>
      <c r="J8" s="2543"/>
      <c r="K8" s="2543"/>
    </row>
    <row r="9" spans="1:13" s="1407" customFormat="1" ht="24">
      <c r="A9" s="1703"/>
      <c r="B9" s="1662" t="s">
        <v>3074</v>
      </c>
      <c r="C9" s="1662" t="s">
        <v>3090</v>
      </c>
      <c r="D9" s="1662" t="s">
        <v>3088</v>
      </c>
      <c r="F9" s="1661" t="s">
        <v>3082</v>
      </c>
      <c r="G9" s="1661" t="s">
        <v>3080</v>
      </c>
      <c r="H9" s="1661" t="s">
        <v>3078</v>
      </c>
      <c r="I9" s="1661" t="s">
        <v>3074</v>
      </c>
      <c r="J9" s="1661" t="s">
        <v>3072</v>
      </c>
      <c r="K9" s="1661" t="s">
        <v>3114</v>
      </c>
    </row>
    <row r="10" spans="1:13" s="1407" customFormat="1">
      <c r="A10" s="1660" t="s">
        <v>3113</v>
      </c>
      <c r="B10" s="1658"/>
      <c r="C10" s="1658"/>
      <c r="D10" s="1658"/>
      <c r="E10" s="1659"/>
      <c r="F10" s="1658"/>
      <c r="G10" s="1658"/>
      <c r="H10" s="1658"/>
      <c r="I10" s="1658"/>
      <c r="J10" s="1658"/>
      <c r="K10" s="1658"/>
    </row>
    <row r="11" spans="1:13" s="1407" customFormat="1">
      <c r="A11" s="1649"/>
      <c r="B11" s="1654"/>
      <c r="C11" s="1654"/>
      <c r="D11" s="1647"/>
      <c r="E11" s="1651"/>
      <c r="F11" s="1654"/>
      <c r="G11" s="1654"/>
      <c r="H11" s="1647"/>
      <c r="I11" s="1657"/>
      <c r="J11" s="1657"/>
      <c r="K11" s="1653"/>
    </row>
    <row r="12" spans="1:13" s="1407" customFormat="1">
      <c r="A12" s="1649"/>
      <c r="B12" s="1654"/>
      <c r="C12" s="1654"/>
      <c r="D12" s="1647"/>
      <c r="E12" s="1651"/>
      <c r="F12" s="1654"/>
      <c r="G12" s="1654"/>
      <c r="H12" s="1647"/>
      <c r="I12" s="1657"/>
      <c r="J12" s="1657"/>
      <c r="K12" s="1653"/>
    </row>
    <row r="13" spans="1:13" s="1407" customFormat="1">
      <c r="A13" s="1649"/>
      <c r="B13" s="1654"/>
      <c r="C13" s="1654"/>
      <c r="D13" s="1647"/>
      <c r="E13" s="1651"/>
      <c r="F13" s="1654"/>
      <c r="G13" s="1654"/>
      <c r="H13" s="1647"/>
      <c r="I13" s="1657"/>
      <c r="J13" s="1657"/>
      <c r="K13" s="1653"/>
    </row>
    <row r="14" spans="1:13" s="1407" customFormat="1">
      <c r="A14" s="1649"/>
      <c r="B14" s="1654"/>
      <c r="C14" s="1654"/>
      <c r="D14" s="1647"/>
      <c r="E14" s="1651"/>
      <c r="F14" s="1654"/>
      <c r="G14" s="1654"/>
      <c r="H14" s="1647"/>
      <c r="I14" s="1657"/>
      <c r="J14" s="1657"/>
      <c r="K14" s="1653"/>
    </row>
    <row r="15" spans="1:13" s="1407" customFormat="1">
      <c r="A15" s="1656" t="s">
        <v>3112</v>
      </c>
      <c r="B15" s="1655"/>
      <c r="C15" s="1655"/>
      <c r="D15" s="1655"/>
      <c r="E15" s="1651"/>
      <c r="F15" s="1655"/>
      <c r="G15" s="1655"/>
      <c r="H15" s="1655"/>
      <c r="I15" s="1655"/>
      <c r="J15" s="1655"/>
      <c r="K15" s="1655"/>
    </row>
    <row r="16" spans="1:13" s="1407" customFormat="1">
      <c r="A16" s="1649"/>
      <c r="B16" s="1654"/>
      <c r="C16" s="1646"/>
      <c r="D16" s="1647"/>
      <c r="E16" s="1651"/>
      <c r="F16" s="1654"/>
      <c r="G16" s="1646"/>
      <c r="H16" s="1647"/>
      <c r="I16" s="1654"/>
      <c r="J16" s="1646"/>
      <c r="K16" s="1653"/>
    </row>
    <row r="17" spans="1:11" s="1407" customFormat="1">
      <c r="A17" s="1649"/>
      <c r="B17" s="1654"/>
      <c r="C17" s="1646"/>
      <c r="D17" s="1647"/>
      <c r="E17" s="1651"/>
      <c r="F17" s="1654"/>
      <c r="G17" s="1646"/>
      <c r="H17" s="1647"/>
      <c r="I17" s="1654"/>
      <c r="J17" s="1646"/>
      <c r="K17" s="1653"/>
    </row>
    <row r="18" spans="1:11" s="1407" customFormat="1">
      <c r="A18" s="1649"/>
      <c r="B18" s="1654"/>
      <c r="C18" s="1646"/>
      <c r="D18" s="1647"/>
      <c r="E18" s="1651"/>
      <c r="F18" s="1654"/>
      <c r="G18" s="1646"/>
      <c r="H18" s="1647"/>
      <c r="I18" s="1654"/>
      <c r="J18" s="1646"/>
      <c r="K18" s="1653"/>
    </row>
    <row r="19" spans="1:11" s="1407" customFormat="1">
      <c r="A19" s="1649"/>
      <c r="B19" s="1654"/>
      <c r="C19" s="1646"/>
      <c r="D19" s="1647"/>
      <c r="E19" s="1651"/>
      <c r="F19" s="1654"/>
      <c r="G19" s="1646"/>
      <c r="H19" s="1647"/>
      <c r="I19" s="1654"/>
      <c r="J19" s="1646"/>
      <c r="K19" s="1653"/>
    </row>
    <row r="20" spans="1:11" s="1407" customFormat="1">
      <c r="A20" s="1652" t="s">
        <v>3111</v>
      </c>
      <c r="B20" s="1650"/>
      <c r="C20" s="1650"/>
      <c r="D20" s="1650"/>
      <c r="E20" s="1651"/>
      <c r="F20" s="1650"/>
      <c r="G20" s="1650"/>
      <c r="H20" s="1650"/>
      <c r="I20" s="1650"/>
      <c r="J20" s="1650"/>
      <c r="K20" s="1650"/>
    </row>
    <row r="21" spans="1:11" s="1407" customFormat="1">
      <c r="A21" s="1649"/>
      <c r="B21" s="1647"/>
      <c r="C21" s="1646"/>
      <c r="D21" s="1646"/>
      <c r="E21" s="1648"/>
      <c r="F21" s="1646"/>
      <c r="G21" s="1647"/>
      <c r="H21" s="1647"/>
      <c r="I21" s="1647"/>
      <c r="J21" s="1646"/>
      <c r="K21" s="1646"/>
    </row>
    <row r="22" spans="1:11" s="1407" customFormat="1">
      <c r="A22" s="1649"/>
      <c r="B22" s="1647"/>
      <c r="C22" s="1646"/>
      <c r="D22" s="1646"/>
      <c r="E22" s="1648"/>
      <c r="F22" s="1646"/>
      <c r="G22" s="1647"/>
      <c r="H22" s="1647"/>
      <c r="I22" s="1647"/>
      <c r="J22" s="1646"/>
      <c r="K22" s="1646"/>
    </row>
    <row r="23" spans="1:11" s="1407" customFormat="1">
      <c r="A23" s="1649"/>
      <c r="B23" s="1647"/>
      <c r="C23" s="1646"/>
      <c r="D23" s="1646"/>
      <c r="E23" s="1648"/>
      <c r="F23" s="1646"/>
      <c r="G23" s="1647"/>
      <c r="H23" s="1647"/>
      <c r="I23" s="1647"/>
      <c r="J23" s="1646"/>
      <c r="K23" s="1646"/>
    </row>
    <row r="24" spans="1:11" s="1407" customFormat="1">
      <c r="A24" s="1649"/>
      <c r="B24" s="1647"/>
      <c r="C24" s="1646"/>
      <c r="D24" s="1646"/>
      <c r="E24" s="1648"/>
      <c r="F24" s="1646"/>
      <c r="G24" s="1647"/>
      <c r="H24" s="1647"/>
      <c r="I24" s="1647"/>
      <c r="J24" s="1646"/>
      <c r="K24" s="1646"/>
    </row>
    <row r="25" spans="1:11" ht="14">
      <c r="A25" s="2535" t="s">
        <v>3096</v>
      </c>
      <c r="B25" s="2535"/>
      <c r="C25" s="2535"/>
      <c r="D25" s="2535"/>
      <c r="E25" s="1645"/>
      <c r="G25" s="1643"/>
      <c r="H25" s="1644" t="s">
        <v>3085</v>
      </c>
      <c r="I25" s="1643"/>
      <c r="J25" s="1643"/>
      <c r="K25" s="1643"/>
    </row>
    <row r="26" spans="1:11">
      <c r="A26" s="1638"/>
      <c r="B26" s="1642"/>
      <c r="C26" s="1411" t="s">
        <v>3109</v>
      </c>
      <c r="D26" s="2534" t="s">
        <v>3110</v>
      </c>
      <c r="E26" s="2534"/>
      <c r="F26" s="2534"/>
      <c r="H26" s="1642"/>
      <c r="I26" s="1407" t="s">
        <v>3109</v>
      </c>
      <c r="J26" s="1407"/>
    </row>
    <row r="27" spans="1:11">
      <c r="A27" s="1638"/>
      <c r="B27" s="1641"/>
      <c r="C27" s="1411" t="s">
        <v>3108</v>
      </c>
      <c r="D27" s="2534"/>
      <c r="E27" s="2534"/>
      <c r="F27" s="2534"/>
      <c r="H27" s="1641"/>
      <c r="I27" s="1407" t="s">
        <v>3108</v>
      </c>
      <c r="J27" s="1407"/>
    </row>
    <row r="28" spans="1:11">
      <c r="A28" s="1638"/>
      <c r="B28" s="1640"/>
      <c r="C28" s="1411" t="s">
        <v>3107</v>
      </c>
      <c r="D28" s="2534"/>
      <c r="E28" s="2534"/>
      <c r="F28" s="2534"/>
      <c r="H28" s="1639"/>
      <c r="I28" s="1407" t="s">
        <v>3107</v>
      </c>
      <c r="J28" s="1407"/>
    </row>
    <row r="29" spans="1:11">
      <c r="A29" s="1638"/>
      <c r="C29" s="1411"/>
      <c r="D29" s="1411"/>
      <c r="H29" s="1407"/>
      <c r="I29" s="1407"/>
      <c r="J29" s="1407"/>
    </row>
    <row r="30" spans="1:11">
      <c r="A30" s="2522" t="s">
        <v>665</v>
      </c>
      <c r="B30" s="2522"/>
      <c r="C30" s="2522"/>
      <c r="D30" s="2522"/>
      <c r="E30" s="2522"/>
      <c r="F30" s="2522"/>
      <c r="G30" s="2522"/>
      <c r="H30" s="2522"/>
      <c r="I30" s="2522"/>
      <c r="J30" s="2522"/>
      <c r="K30" s="2522"/>
    </row>
    <row r="31" spans="1:11">
      <c r="A31" s="2522"/>
      <c r="B31" s="2522"/>
      <c r="C31" s="2522"/>
      <c r="D31" s="2522"/>
      <c r="E31" s="2522"/>
      <c r="F31" s="2522"/>
      <c r="G31" s="2522"/>
      <c r="H31" s="2522"/>
      <c r="I31" s="2522"/>
      <c r="J31" s="2522"/>
      <c r="K31" s="2522"/>
    </row>
    <row r="32" spans="1:11">
      <c r="A32" s="2522"/>
      <c r="B32" s="2522"/>
      <c r="C32" s="2522"/>
      <c r="D32" s="2522"/>
      <c r="E32" s="2522"/>
      <c r="F32" s="2522"/>
      <c r="G32" s="2522"/>
      <c r="H32" s="2522"/>
      <c r="I32" s="2522"/>
      <c r="J32" s="2522"/>
      <c r="K32" s="2522"/>
    </row>
    <row r="33" spans="1:12" ht="14">
      <c r="A33" s="2530" t="s">
        <v>3106</v>
      </c>
      <c r="B33" s="2530"/>
      <c r="C33" s="2530"/>
      <c r="D33" s="2530"/>
      <c r="E33" s="2530"/>
      <c r="F33" s="2530"/>
      <c r="G33" s="2530"/>
      <c r="H33" s="2530"/>
      <c r="I33" s="2530"/>
      <c r="J33" s="2530"/>
      <c r="K33" s="2530"/>
    </row>
    <row r="34" spans="1:12">
      <c r="A34" s="2526" t="s">
        <v>3105</v>
      </c>
      <c r="B34" s="2526" t="s">
        <v>3024</v>
      </c>
      <c r="C34" s="2526" t="s">
        <v>3104</v>
      </c>
      <c r="D34" s="2528" t="s">
        <v>3103</v>
      </c>
      <c r="E34" s="2528"/>
      <c r="F34" s="2528"/>
      <c r="G34" s="2528"/>
      <c r="H34" s="2528"/>
      <c r="I34" s="2528"/>
      <c r="J34" s="2528"/>
      <c r="K34" s="2528"/>
    </row>
    <row r="35" spans="1:12">
      <c r="A35" s="2456"/>
      <c r="B35" s="2456"/>
      <c r="C35" s="2456"/>
      <c r="D35" s="2529" t="s">
        <v>3102</v>
      </c>
      <c r="E35" s="2529"/>
      <c r="F35" s="2529"/>
      <c r="G35" s="2529"/>
      <c r="H35" s="2529"/>
      <c r="I35" s="2529"/>
      <c r="J35" s="2529"/>
      <c r="K35" s="2529"/>
    </row>
    <row r="36" spans="1:12" ht="14" thickBot="1">
      <c r="A36" s="2527"/>
      <c r="B36" s="2527"/>
      <c r="C36" s="2527"/>
      <c r="D36" s="1632"/>
      <c r="E36" s="1632"/>
      <c r="F36" s="1632"/>
      <c r="G36" s="1632"/>
      <c r="H36" s="1632"/>
      <c r="I36" s="1632"/>
      <c r="J36" s="1632"/>
      <c r="K36" s="1632"/>
    </row>
    <row r="37" spans="1:12">
      <c r="A37" s="1637"/>
      <c r="B37" s="1636"/>
      <c r="C37" s="1636"/>
      <c r="D37" s="1636"/>
      <c r="E37" s="1636"/>
      <c r="F37" s="1636"/>
      <c r="G37" s="1636"/>
      <c r="H37" s="1636"/>
      <c r="I37" s="1636"/>
      <c r="J37" s="1636"/>
      <c r="K37" s="1636"/>
    </row>
    <row r="38" spans="1:12">
      <c r="A38" s="1635"/>
      <c r="B38" s="1634"/>
      <c r="C38" s="1634"/>
      <c r="D38" s="1634"/>
      <c r="E38" s="1634"/>
      <c r="F38" s="1634"/>
      <c r="G38" s="1634"/>
      <c r="H38" s="1634"/>
      <c r="I38" s="1634"/>
      <c r="J38" s="1634"/>
      <c r="K38" s="1634"/>
    </row>
    <row r="39" spans="1:12">
      <c r="A39" s="1635"/>
      <c r="B39" s="1634"/>
      <c r="C39" s="1634"/>
      <c r="D39" s="1634"/>
      <c r="E39" s="1634"/>
      <c r="F39" s="1634"/>
      <c r="G39" s="1634"/>
      <c r="H39" s="1634"/>
      <c r="I39" s="1634"/>
      <c r="J39" s="1634"/>
      <c r="K39" s="1634"/>
    </row>
    <row r="40" spans="1:12" ht="14" thickBot="1">
      <c r="A40" s="1633"/>
      <c r="B40" s="1632"/>
      <c r="C40" s="1632"/>
      <c r="D40" s="1631"/>
      <c r="E40" s="1631"/>
      <c r="F40" s="1631"/>
      <c r="G40" s="1631"/>
      <c r="H40" s="1631"/>
      <c r="I40" s="1631"/>
      <c r="J40" s="1631"/>
      <c r="K40" s="1631"/>
    </row>
    <row r="41" spans="1:12">
      <c r="D41" s="1630"/>
      <c r="E41" s="1630"/>
      <c r="F41" s="1630"/>
      <c r="G41" s="1630"/>
      <c r="H41" s="1630"/>
      <c r="I41" s="1630"/>
      <c r="J41" s="1630"/>
      <c r="K41" s="1630"/>
    </row>
    <row r="42" spans="1:12">
      <c r="D42" s="2523" t="s">
        <v>3101</v>
      </c>
      <c r="E42" s="2524"/>
      <c r="F42" s="2524"/>
      <c r="G42" s="2524"/>
      <c r="H42" s="2524"/>
      <c r="I42" s="2524"/>
      <c r="J42" s="2524"/>
      <c r="K42" s="2525"/>
    </row>
    <row r="43" spans="1:12" ht="18">
      <c r="A43" s="2086" t="s">
        <v>3100</v>
      </c>
      <c r="B43" s="2086"/>
      <c r="C43" s="2086"/>
      <c r="D43" s="2086"/>
      <c r="E43" s="2086"/>
      <c r="F43" s="2086"/>
      <c r="G43" s="2086"/>
      <c r="H43" s="2086"/>
      <c r="I43" s="2086"/>
      <c r="J43" s="2086"/>
      <c r="K43" s="2086"/>
    </row>
    <row r="44" spans="1:12">
      <c r="A44" s="2436" t="s">
        <v>3099</v>
      </c>
      <c r="B44" s="2436"/>
      <c r="C44" s="2436"/>
      <c r="D44" s="2436"/>
      <c r="E44" s="2436"/>
      <c r="F44" s="2436"/>
      <c r="G44" s="2436"/>
      <c r="H44" s="2436"/>
      <c r="I44" s="2436"/>
      <c r="J44" s="2436"/>
      <c r="K44" s="2436"/>
      <c r="L44" s="1629"/>
    </row>
    <row r="45" spans="1:12">
      <c r="A45" s="2436" t="s">
        <v>3098</v>
      </c>
      <c r="B45" s="2436"/>
      <c r="C45" s="2436"/>
      <c r="D45" s="2436"/>
      <c r="E45" s="2436"/>
      <c r="F45" s="2436"/>
      <c r="G45" s="2436"/>
      <c r="H45" s="2436"/>
      <c r="I45" s="2436"/>
      <c r="J45" s="2436"/>
      <c r="K45" s="2436"/>
      <c r="L45" s="1629"/>
    </row>
    <row r="46" spans="1:12" s="1629" customFormat="1">
      <c r="A46" s="2436" t="s">
        <v>3097</v>
      </c>
      <c r="B46" s="2436"/>
      <c r="C46" s="2436"/>
      <c r="D46" s="2436"/>
      <c r="E46" s="2436"/>
      <c r="F46" s="2436"/>
      <c r="G46" s="2436"/>
      <c r="H46" s="2436"/>
      <c r="I46" s="2436"/>
      <c r="J46" s="2436"/>
      <c r="K46" s="2436"/>
    </row>
    <row r="47" spans="1:12" ht="16">
      <c r="A47" s="2520" t="s">
        <v>3096</v>
      </c>
      <c r="B47" s="2520"/>
      <c r="C47" s="2520"/>
      <c r="D47" s="2520"/>
      <c r="E47" s="2520"/>
      <c r="F47" s="2520"/>
      <c r="G47" s="2520"/>
      <c r="H47" s="2520"/>
      <c r="I47" s="2520"/>
      <c r="J47" s="2520"/>
      <c r="K47" s="2520"/>
      <c r="L47" s="1453"/>
    </row>
    <row r="48" spans="1:12">
      <c r="A48" s="2439" t="s">
        <v>3095</v>
      </c>
      <c r="B48" s="2439"/>
      <c r="C48" s="2439"/>
      <c r="D48" s="2439"/>
      <c r="E48" s="2439"/>
      <c r="F48" s="2439"/>
      <c r="G48" s="2439"/>
      <c r="H48" s="2439"/>
      <c r="I48" s="2439"/>
      <c r="J48" s="2439"/>
      <c r="K48" s="2439"/>
      <c r="L48" s="1628"/>
    </row>
    <row r="49" spans="1:12">
      <c r="A49" s="2437" t="s">
        <v>3094</v>
      </c>
      <c r="B49" s="2436"/>
      <c r="C49" s="2436"/>
      <c r="D49" s="2436"/>
      <c r="E49" s="2436"/>
      <c r="F49" s="2436"/>
      <c r="G49" s="2436"/>
      <c r="H49" s="2436"/>
      <c r="I49" s="2436"/>
      <c r="J49" s="2436"/>
      <c r="K49" s="2436"/>
      <c r="L49" s="1453"/>
    </row>
    <row r="50" spans="1:12">
      <c r="A50" s="2436" t="s">
        <v>3093</v>
      </c>
      <c r="B50" s="2436"/>
      <c r="C50" s="2436"/>
      <c r="D50" s="2436"/>
      <c r="E50" s="2436"/>
      <c r="F50" s="2436"/>
      <c r="G50" s="2436"/>
      <c r="H50" s="2436"/>
      <c r="I50" s="2436"/>
      <c r="J50" s="2436"/>
      <c r="K50" s="2436"/>
      <c r="L50" s="1453"/>
    </row>
    <row r="51" spans="1:12">
      <c r="A51" s="2439" t="s">
        <v>3092</v>
      </c>
      <c r="B51" s="2439"/>
      <c r="C51" s="2439"/>
      <c r="D51" s="2439"/>
      <c r="E51" s="2439"/>
      <c r="F51" s="2439"/>
      <c r="G51" s="2439"/>
      <c r="H51" s="2439"/>
      <c r="I51" s="2439"/>
      <c r="J51" s="2439"/>
      <c r="K51" s="2439"/>
      <c r="L51" s="1628"/>
    </row>
    <row r="52" spans="1:12" s="1407" customFormat="1">
      <c r="A52" s="1626" t="s">
        <v>3074</v>
      </c>
      <c r="B52" s="2516" t="s">
        <v>3091</v>
      </c>
      <c r="C52" s="2516"/>
      <c r="D52" s="2516"/>
      <c r="E52" s="2516"/>
      <c r="F52" s="2516"/>
      <c r="G52" s="2516"/>
      <c r="H52" s="2516"/>
      <c r="I52" s="2516"/>
      <c r="J52" s="2516"/>
      <c r="K52" s="2516"/>
    </row>
    <row r="53" spans="1:12" s="1407" customFormat="1">
      <c r="A53" s="1626" t="s">
        <v>3090</v>
      </c>
      <c r="B53" s="2516" t="s">
        <v>3089</v>
      </c>
      <c r="C53" s="2516"/>
      <c r="D53" s="2516"/>
      <c r="E53" s="2516"/>
      <c r="F53" s="2516"/>
      <c r="G53" s="2516"/>
      <c r="H53" s="2516"/>
      <c r="I53" s="2516"/>
      <c r="J53" s="2516"/>
      <c r="K53" s="2516"/>
    </row>
    <row r="54" spans="1:12" s="1407" customFormat="1">
      <c r="A54" s="1626" t="s">
        <v>3088</v>
      </c>
      <c r="B54" s="2516" t="s">
        <v>3087</v>
      </c>
      <c r="C54" s="2516"/>
      <c r="D54" s="2516"/>
      <c r="E54" s="2516"/>
      <c r="F54" s="2516"/>
      <c r="G54" s="2516"/>
      <c r="H54" s="2516"/>
      <c r="I54" s="2516"/>
      <c r="J54" s="2516"/>
      <c r="K54" s="2516"/>
    </row>
    <row r="55" spans="1:12">
      <c r="A55" s="2521" t="s">
        <v>3086</v>
      </c>
      <c r="B55" s="2521"/>
      <c r="C55" s="2521"/>
      <c r="D55" s="2521"/>
      <c r="E55" s="2521"/>
      <c r="F55" s="2521"/>
      <c r="G55" s="2521"/>
      <c r="H55" s="2521"/>
      <c r="I55" s="2521"/>
      <c r="J55" s="2521"/>
      <c r="K55" s="2521"/>
    </row>
    <row r="56" spans="1:12" ht="16">
      <c r="A56" s="2520" t="s">
        <v>3085</v>
      </c>
      <c r="B56" s="2520"/>
      <c r="C56" s="2520"/>
      <c r="D56" s="2520"/>
      <c r="E56" s="2520"/>
      <c r="F56" s="2520"/>
      <c r="G56" s="2520"/>
      <c r="H56" s="2520"/>
      <c r="I56" s="2520"/>
      <c r="J56" s="2520"/>
      <c r="K56" s="2520"/>
    </row>
    <row r="57" spans="1:12">
      <c r="A57" s="2439" t="s">
        <v>3084</v>
      </c>
      <c r="B57" s="2439"/>
      <c r="C57" s="2439"/>
      <c r="D57" s="2439"/>
      <c r="E57" s="2439"/>
      <c r="F57" s="2439"/>
      <c r="G57" s="2439"/>
      <c r="H57" s="2439"/>
      <c r="I57" s="2439"/>
      <c r="J57" s="2439"/>
      <c r="K57" s="2439"/>
    </row>
    <row r="58" spans="1:12">
      <c r="A58" s="2439" t="s">
        <v>3083</v>
      </c>
      <c r="B58" s="2439"/>
      <c r="C58" s="2439"/>
      <c r="D58" s="2439"/>
      <c r="E58" s="2439"/>
      <c r="F58" s="2439"/>
      <c r="G58" s="2439"/>
      <c r="H58" s="2439"/>
      <c r="I58" s="2439"/>
      <c r="J58" s="2439"/>
      <c r="K58" s="2439"/>
    </row>
    <row r="59" spans="1:12" ht="14">
      <c r="A59" s="1627" t="s">
        <v>3082</v>
      </c>
      <c r="B59" s="2516" t="s">
        <v>3081</v>
      </c>
      <c r="C59" s="2516"/>
      <c r="D59" s="2516"/>
      <c r="E59" s="2516"/>
      <c r="F59" s="2516"/>
      <c r="G59" s="2516"/>
      <c r="H59" s="2516"/>
      <c r="I59" s="2516"/>
      <c r="J59" s="2516"/>
      <c r="K59" s="2516"/>
    </row>
    <row r="60" spans="1:12" ht="14">
      <c r="A60" s="1627" t="s">
        <v>3080</v>
      </c>
      <c r="B60" s="2516" t="s">
        <v>3079</v>
      </c>
      <c r="C60" s="2516"/>
      <c r="D60" s="2516"/>
      <c r="E60" s="2516"/>
      <c r="F60" s="2516"/>
      <c r="G60" s="2516"/>
      <c r="H60" s="2516"/>
      <c r="I60" s="2516"/>
      <c r="J60" s="2516"/>
      <c r="K60" s="2516"/>
    </row>
    <row r="61" spans="1:12" ht="14">
      <c r="A61" s="1627" t="s">
        <v>3078</v>
      </c>
      <c r="B61" s="2516" t="s">
        <v>3077</v>
      </c>
      <c r="C61" s="2516"/>
      <c r="D61" s="2516"/>
      <c r="E61" s="2516"/>
      <c r="F61" s="2516"/>
      <c r="G61" s="2516"/>
      <c r="H61" s="2516"/>
      <c r="I61" s="2516"/>
      <c r="J61" s="2516"/>
      <c r="K61" s="2516"/>
    </row>
    <row r="62" spans="1:12">
      <c r="A62" s="2518" t="s">
        <v>3076</v>
      </c>
      <c r="B62" s="2518"/>
      <c r="C62" s="2518"/>
      <c r="D62" s="2518"/>
      <c r="E62" s="2518"/>
      <c r="F62" s="2518"/>
      <c r="G62" s="2518"/>
      <c r="H62" s="2518"/>
      <c r="I62" s="2518"/>
      <c r="J62" s="2518"/>
      <c r="K62" s="2518"/>
    </row>
    <row r="63" spans="1:12">
      <c r="A63" s="2519" t="s">
        <v>3075</v>
      </c>
      <c r="B63" s="2519"/>
      <c r="C63" s="2519"/>
      <c r="D63" s="2519"/>
      <c r="E63" s="2519"/>
      <c r="F63" s="2519"/>
      <c r="G63" s="2519"/>
      <c r="H63" s="2519"/>
      <c r="I63" s="2519"/>
      <c r="J63" s="2519"/>
      <c r="K63" s="2519"/>
    </row>
    <row r="64" spans="1:12">
      <c r="A64" s="1626" t="s">
        <v>3074</v>
      </c>
      <c r="B64" s="2516" t="s">
        <v>3073</v>
      </c>
      <c r="C64" s="2516"/>
      <c r="D64" s="2516"/>
      <c r="E64" s="2516"/>
      <c r="F64" s="2516"/>
      <c r="G64" s="2516"/>
      <c r="H64" s="2516"/>
      <c r="I64" s="2516"/>
      <c r="J64" s="2516"/>
      <c r="K64" s="2516"/>
    </row>
    <row r="65" spans="1:11">
      <c r="A65" s="1626" t="s">
        <v>3072</v>
      </c>
      <c r="B65" s="2516" t="s">
        <v>3071</v>
      </c>
      <c r="C65" s="2516"/>
      <c r="D65" s="2516"/>
      <c r="E65" s="2516"/>
      <c r="F65" s="2516"/>
      <c r="G65" s="2516"/>
      <c r="H65" s="2516"/>
      <c r="I65" s="2516"/>
      <c r="J65" s="2516"/>
      <c r="K65" s="2516"/>
    </row>
    <row r="66" spans="1:11">
      <c r="A66" s="1626" t="s">
        <v>3070</v>
      </c>
      <c r="B66" s="2516" t="s">
        <v>3069</v>
      </c>
      <c r="C66" s="2516"/>
      <c r="D66" s="2516"/>
      <c r="E66" s="2516"/>
      <c r="F66" s="2516"/>
      <c r="G66" s="2516"/>
      <c r="H66" s="2516"/>
      <c r="I66" s="2516"/>
      <c r="J66" s="2516"/>
      <c r="K66" s="2516"/>
    </row>
    <row r="67" spans="1:11">
      <c r="A67" s="2517" t="s">
        <v>3068</v>
      </c>
      <c r="B67" s="2517"/>
      <c r="C67" s="2517"/>
      <c r="D67" s="2517"/>
      <c r="E67" s="2517"/>
      <c r="F67" s="2517"/>
      <c r="G67" s="2517"/>
      <c r="H67" s="2517"/>
      <c r="I67" s="2517"/>
      <c r="J67" s="2517"/>
      <c r="K67" s="2517"/>
    </row>
  </sheetData>
  <mergeCells count="55">
    <mergeCell ref="A1:K1"/>
    <mergeCell ref="B2:E2"/>
    <mergeCell ref="F2:G2"/>
    <mergeCell ref="H2:K2"/>
    <mergeCell ref="B3:E3"/>
    <mergeCell ref="F3:G3"/>
    <mergeCell ref="H3:K3"/>
    <mergeCell ref="H4:K4"/>
    <mergeCell ref="B5:K5"/>
    <mergeCell ref="A6:K6"/>
    <mergeCell ref="D26:F28"/>
    <mergeCell ref="A30:K30"/>
    <mergeCell ref="A25:D25"/>
    <mergeCell ref="A7:A8"/>
    <mergeCell ref="B7:D7"/>
    <mergeCell ref="F7:K7"/>
    <mergeCell ref="B8:D8"/>
    <mergeCell ref="F8:H8"/>
    <mergeCell ref="I8:K8"/>
    <mergeCell ref="B4:E4"/>
    <mergeCell ref="F4:G4"/>
    <mergeCell ref="A31:K31"/>
    <mergeCell ref="A32:K32"/>
    <mergeCell ref="A45:K45"/>
    <mergeCell ref="D42:K42"/>
    <mergeCell ref="A43:K43"/>
    <mergeCell ref="A44:K44"/>
    <mergeCell ref="B34:B36"/>
    <mergeCell ref="C34:C36"/>
    <mergeCell ref="D34:K34"/>
    <mergeCell ref="D35:K35"/>
    <mergeCell ref="A33:K33"/>
    <mergeCell ref="A34:A36"/>
    <mergeCell ref="A46:K46"/>
    <mergeCell ref="B59:K59"/>
    <mergeCell ref="A48:K48"/>
    <mergeCell ref="A49:K49"/>
    <mergeCell ref="A50:K50"/>
    <mergeCell ref="A51:K51"/>
    <mergeCell ref="B52:K52"/>
    <mergeCell ref="B53:K53"/>
    <mergeCell ref="B54:K54"/>
    <mergeCell ref="A47:K47"/>
    <mergeCell ref="A55:K55"/>
    <mergeCell ref="A56:K56"/>
    <mergeCell ref="A57:K57"/>
    <mergeCell ref="A58:K58"/>
    <mergeCell ref="B66:K66"/>
    <mergeCell ref="A67:K67"/>
    <mergeCell ref="B60:K60"/>
    <mergeCell ref="B61:K61"/>
    <mergeCell ref="A62:K62"/>
    <mergeCell ref="A63:K63"/>
    <mergeCell ref="B64:K64"/>
    <mergeCell ref="B65:K65"/>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E8FA0-F468-4105-938E-59C0ADAEC988}">
  <sheetPr codeName="Sheet8">
    <tabColor theme="0"/>
    <pageSetUpPr fitToPage="1"/>
  </sheetPr>
  <dimension ref="A1:AA83"/>
  <sheetViews>
    <sheetView workbookViewId="0"/>
  </sheetViews>
  <sheetFormatPr baseColWidth="10" defaultColWidth="8.83203125" defaultRowHeight="14"/>
  <cols>
    <col min="1" max="1" width="4.5" customWidth="1"/>
    <col min="2" max="2" width="7.83203125" customWidth="1"/>
    <col min="3" max="3" width="8.33203125" customWidth="1"/>
    <col min="4" max="4" width="75.5" customWidth="1"/>
    <col min="7" max="7" width="3.83203125" customWidth="1"/>
  </cols>
  <sheetData>
    <row r="1" spans="1:27" ht="15" thickBot="1">
      <c r="A1" s="188"/>
      <c r="B1" s="188"/>
      <c r="C1" s="188"/>
      <c r="D1" s="188"/>
      <c r="E1" s="188"/>
      <c r="F1" s="188"/>
      <c r="G1" s="188"/>
      <c r="H1" s="188"/>
      <c r="I1" s="188"/>
      <c r="J1" s="188"/>
      <c r="K1" s="188"/>
      <c r="L1" s="188"/>
      <c r="M1" s="188"/>
      <c r="N1" s="188"/>
      <c r="O1" s="188"/>
      <c r="P1" s="188"/>
      <c r="Q1" s="188"/>
      <c r="R1" s="188"/>
      <c r="S1" s="188"/>
      <c r="T1" s="188"/>
      <c r="U1" s="188"/>
      <c r="V1" s="188"/>
      <c r="W1" s="188"/>
      <c r="X1" s="188"/>
      <c r="Y1" s="188"/>
      <c r="Z1" s="188"/>
      <c r="AA1" s="188"/>
    </row>
    <row r="2" spans="1:27" ht="16">
      <c r="A2" s="188"/>
      <c r="B2" s="2549" t="s">
        <v>660</v>
      </c>
      <c r="C2" s="2550"/>
      <c r="D2" s="2550"/>
      <c r="E2" s="2550"/>
      <c r="F2" s="2551"/>
      <c r="G2" s="188"/>
      <c r="H2" s="188"/>
      <c r="I2" s="188"/>
      <c r="J2" s="188"/>
      <c r="K2" s="188"/>
      <c r="L2" s="188"/>
      <c r="M2" s="188"/>
      <c r="N2" s="188"/>
      <c r="O2" s="188"/>
      <c r="P2" s="188"/>
      <c r="Q2" s="188"/>
      <c r="R2" s="188"/>
      <c r="S2" s="188"/>
      <c r="T2" s="188"/>
      <c r="U2" s="188"/>
      <c r="V2" s="188"/>
      <c r="W2" s="188"/>
      <c r="X2" s="188"/>
      <c r="Y2" s="188"/>
      <c r="Z2" s="188"/>
      <c r="AA2" s="188"/>
    </row>
    <row r="3" spans="1:27" ht="16">
      <c r="A3" s="188"/>
      <c r="B3" s="2552">
        <f>Name</f>
        <v>0</v>
      </c>
      <c r="C3" s="2553"/>
      <c r="D3" s="2553"/>
      <c r="E3" s="2553"/>
      <c r="F3" s="2554"/>
      <c r="G3" s="188"/>
      <c r="H3" s="188"/>
      <c r="I3" s="188"/>
      <c r="J3" s="188"/>
      <c r="K3" s="188"/>
      <c r="L3" s="188"/>
      <c r="M3" s="188"/>
      <c r="N3" s="188"/>
      <c r="O3" s="188"/>
      <c r="P3" s="188"/>
      <c r="Q3" s="188"/>
      <c r="R3" s="188"/>
      <c r="S3" s="188"/>
      <c r="T3" s="188"/>
      <c r="U3" s="188"/>
      <c r="V3" s="188"/>
      <c r="W3" s="188"/>
      <c r="X3" s="188"/>
      <c r="Y3" s="188"/>
      <c r="Z3" s="188"/>
      <c r="AA3" s="188"/>
    </row>
    <row r="4" spans="1:27" ht="16">
      <c r="A4" s="188"/>
      <c r="B4" s="2555">
        <f>Date</f>
        <v>0</v>
      </c>
      <c r="C4" s="2556"/>
      <c r="D4" s="2556"/>
      <c r="E4" s="2556"/>
      <c r="F4" s="2557"/>
      <c r="G4" s="188"/>
      <c r="H4" s="188"/>
      <c r="I4" s="188"/>
      <c r="J4" s="188"/>
      <c r="K4" s="188"/>
      <c r="L4" s="188"/>
      <c r="M4" s="188"/>
      <c r="N4" s="188"/>
      <c r="O4" s="188"/>
      <c r="P4" s="188"/>
      <c r="Q4" s="188"/>
      <c r="R4" s="188"/>
      <c r="S4" s="188"/>
      <c r="T4" s="188"/>
      <c r="U4" s="188"/>
      <c r="V4" s="188"/>
      <c r="W4" s="188"/>
      <c r="X4" s="188"/>
      <c r="Y4" s="188"/>
      <c r="Z4" s="188"/>
      <c r="AA4" s="188"/>
    </row>
    <row r="5" spans="1:27" ht="29">
      <c r="A5" s="188"/>
      <c r="B5" s="784" t="s">
        <v>230</v>
      </c>
      <c r="C5" s="785" t="s">
        <v>231</v>
      </c>
      <c r="D5" s="786" t="s">
        <v>662</v>
      </c>
      <c r="E5" s="779"/>
      <c r="F5" s="780"/>
      <c r="G5" s="188"/>
      <c r="H5" s="188"/>
      <c r="I5" s="188"/>
      <c r="J5" s="188"/>
      <c r="K5" s="188"/>
      <c r="L5" s="188"/>
      <c r="M5" s="188"/>
      <c r="N5" s="188"/>
      <c r="O5" s="188"/>
      <c r="P5" s="188"/>
      <c r="Q5" s="188"/>
      <c r="R5" s="188"/>
      <c r="S5" s="188"/>
      <c r="T5" s="188"/>
      <c r="U5" s="188"/>
      <c r="V5" s="188"/>
      <c r="W5" s="188"/>
      <c r="X5" s="188"/>
      <c r="Y5" s="188"/>
      <c r="Z5" s="188"/>
      <c r="AA5" s="188"/>
    </row>
    <row r="6" spans="1:27" ht="18.75" customHeight="1">
      <c r="A6" s="188"/>
      <c r="B6" s="775"/>
      <c r="C6" s="774"/>
      <c r="D6" s="787" t="s">
        <v>647</v>
      </c>
      <c r="E6" s="202"/>
      <c r="F6" s="752"/>
      <c r="G6" s="188"/>
      <c r="H6" s="188"/>
      <c r="I6" s="188"/>
      <c r="J6" s="188"/>
      <c r="K6" s="188"/>
      <c r="L6" s="188"/>
      <c r="M6" s="188"/>
      <c r="N6" s="188"/>
      <c r="O6" s="188"/>
      <c r="P6" s="188"/>
      <c r="Q6" s="188"/>
      <c r="R6" s="188"/>
      <c r="S6" s="188"/>
      <c r="T6" s="188"/>
      <c r="U6" s="188"/>
      <c r="V6" s="188"/>
      <c r="W6" s="188"/>
      <c r="X6" s="188"/>
      <c r="Y6" s="188"/>
      <c r="Z6" s="188"/>
      <c r="AA6" s="188"/>
    </row>
    <row r="7" spans="1:27" ht="127.25" customHeight="1">
      <c r="A7" s="188"/>
      <c r="B7" s="751"/>
      <c r="C7" s="202"/>
      <c r="D7" s="2545" t="s">
        <v>654</v>
      </c>
      <c r="E7" s="2546"/>
      <c r="F7" s="2547"/>
      <c r="G7" s="188"/>
      <c r="H7" s="188"/>
      <c r="I7" s="188"/>
      <c r="J7" s="188"/>
      <c r="K7" s="188"/>
      <c r="L7" s="188"/>
      <c r="M7" s="188"/>
      <c r="N7" s="188"/>
      <c r="O7" s="188"/>
      <c r="P7" s="188"/>
      <c r="Q7" s="188"/>
      <c r="R7" s="188"/>
      <c r="S7" s="188"/>
      <c r="T7" s="188"/>
      <c r="U7" s="188"/>
      <c r="V7" s="188"/>
      <c r="W7" s="188"/>
      <c r="X7" s="188"/>
      <c r="Y7" s="188"/>
      <c r="Z7" s="188"/>
      <c r="AA7" s="188"/>
    </row>
    <row r="8" spans="1:27" ht="6" customHeight="1">
      <c r="A8" s="188"/>
      <c r="B8" s="781"/>
      <c r="C8" s="777"/>
      <c r="D8" s="782"/>
      <c r="E8" s="777"/>
      <c r="F8" s="778"/>
      <c r="G8" s="188"/>
      <c r="H8" s="188"/>
      <c r="I8" s="188"/>
      <c r="J8" s="188"/>
      <c r="K8" s="188"/>
      <c r="L8" s="188"/>
      <c r="M8" s="188"/>
      <c r="N8" s="188"/>
      <c r="O8" s="188"/>
      <c r="P8" s="188"/>
      <c r="Q8" s="188"/>
      <c r="R8" s="188"/>
      <c r="S8" s="188"/>
      <c r="T8" s="188"/>
      <c r="U8" s="188"/>
      <c r="V8" s="188"/>
      <c r="W8" s="188"/>
      <c r="X8" s="188"/>
      <c r="Y8" s="188"/>
      <c r="Z8" s="188"/>
      <c r="AA8" s="188"/>
    </row>
    <row r="9" spans="1:27" ht="18.75" customHeight="1">
      <c r="A9" s="188"/>
      <c r="B9" s="751"/>
      <c r="C9" s="202"/>
      <c r="D9" s="788" t="s">
        <v>648</v>
      </c>
      <c r="E9" s="202"/>
      <c r="F9" s="752"/>
      <c r="G9" s="188"/>
      <c r="H9" s="188"/>
      <c r="I9" s="188"/>
      <c r="J9" s="188"/>
      <c r="K9" s="188"/>
      <c r="L9" s="188"/>
      <c r="M9" s="188"/>
      <c r="N9" s="188"/>
      <c r="O9" s="188"/>
      <c r="P9" s="188"/>
      <c r="Q9" s="188"/>
      <c r="R9" s="188"/>
      <c r="S9" s="188"/>
      <c r="T9" s="188"/>
      <c r="U9" s="188"/>
      <c r="V9" s="188"/>
      <c r="W9" s="188"/>
      <c r="X9" s="188"/>
      <c r="Y9" s="188"/>
      <c r="Z9" s="188"/>
      <c r="AA9" s="188"/>
    </row>
    <row r="10" spans="1:27" ht="45" customHeight="1">
      <c r="A10" s="188"/>
      <c r="B10" s="751"/>
      <c r="C10" s="202"/>
      <c r="D10" s="2545" t="s">
        <v>653</v>
      </c>
      <c r="E10" s="2546"/>
      <c r="F10" s="2547"/>
      <c r="G10" s="188"/>
      <c r="H10" s="188"/>
      <c r="I10" s="188"/>
      <c r="J10" s="188"/>
      <c r="K10" s="188"/>
      <c r="L10" s="188"/>
      <c r="M10" s="188"/>
      <c r="N10" s="188"/>
      <c r="O10" s="188"/>
      <c r="P10" s="188"/>
      <c r="Q10" s="188"/>
      <c r="R10" s="188"/>
      <c r="S10" s="188"/>
      <c r="T10" s="188"/>
      <c r="U10" s="188"/>
      <c r="V10" s="188"/>
      <c r="W10" s="188"/>
      <c r="X10" s="188"/>
      <c r="Y10" s="188"/>
      <c r="Z10" s="188"/>
      <c r="AA10" s="188"/>
    </row>
    <row r="11" spans="1:27" ht="6" customHeight="1">
      <c r="A11" s="188"/>
      <c r="B11" s="781"/>
      <c r="C11" s="777"/>
      <c r="D11" s="782"/>
      <c r="E11" s="777"/>
      <c r="F11" s="778"/>
      <c r="G11" s="188"/>
      <c r="H11" s="188"/>
      <c r="I11" s="188"/>
      <c r="J11" s="188"/>
      <c r="K11" s="188"/>
      <c r="L11" s="188"/>
      <c r="M11" s="188"/>
      <c r="N11" s="188"/>
      <c r="O11" s="188"/>
      <c r="P11" s="188"/>
      <c r="Q11" s="188"/>
      <c r="R11" s="188"/>
      <c r="S11" s="188"/>
      <c r="T11" s="188"/>
      <c r="U11" s="188"/>
      <c r="V11" s="188"/>
      <c r="W11" s="188"/>
      <c r="X11" s="188"/>
      <c r="Y11" s="188"/>
      <c r="Z11" s="188"/>
      <c r="AA11" s="188"/>
    </row>
    <row r="12" spans="1:27" ht="18.75" customHeight="1">
      <c r="A12" s="188"/>
      <c r="B12" s="751"/>
      <c r="C12" s="202"/>
      <c r="D12" s="788" t="s">
        <v>649</v>
      </c>
      <c r="E12" s="202"/>
      <c r="F12" s="752"/>
      <c r="G12" s="188"/>
      <c r="H12" s="188"/>
      <c r="I12" s="188"/>
      <c r="J12" s="188"/>
      <c r="K12" s="188"/>
      <c r="L12" s="188"/>
      <c r="M12" s="188"/>
      <c r="N12" s="188"/>
      <c r="O12" s="188"/>
      <c r="P12" s="188"/>
      <c r="Q12" s="188"/>
      <c r="R12" s="188"/>
      <c r="S12" s="188"/>
      <c r="T12" s="188"/>
      <c r="U12" s="188"/>
      <c r="V12" s="188"/>
      <c r="W12" s="188"/>
      <c r="X12" s="188"/>
      <c r="Y12" s="188"/>
      <c r="Z12" s="188"/>
      <c r="AA12" s="188"/>
    </row>
    <row r="13" spans="1:27" ht="33" customHeight="1">
      <c r="A13" s="188"/>
      <c r="B13" s="751"/>
      <c r="C13" s="202"/>
      <c r="D13" s="2545" t="s">
        <v>655</v>
      </c>
      <c r="E13" s="2546"/>
      <c r="F13" s="2547"/>
      <c r="G13" s="188"/>
      <c r="H13" s="188"/>
      <c r="I13" s="188"/>
      <c r="J13" s="188"/>
      <c r="K13" s="188"/>
      <c r="L13" s="188"/>
      <c r="M13" s="188"/>
      <c r="N13" s="188"/>
      <c r="O13" s="188"/>
      <c r="P13" s="188"/>
      <c r="Q13" s="188"/>
      <c r="R13" s="188"/>
      <c r="S13" s="188"/>
      <c r="T13" s="188"/>
      <c r="U13" s="188"/>
      <c r="V13" s="188"/>
      <c r="W13" s="188"/>
      <c r="X13" s="188"/>
      <c r="Y13" s="188"/>
      <c r="Z13" s="188"/>
      <c r="AA13" s="188"/>
    </row>
    <row r="14" spans="1:27" ht="6" customHeight="1">
      <c r="A14" s="188"/>
      <c r="B14" s="781"/>
      <c r="C14" s="777"/>
      <c r="D14" s="782"/>
      <c r="E14" s="777"/>
      <c r="F14" s="778"/>
      <c r="G14" s="188"/>
      <c r="H14" s="188"/>
      <c r="I14" s="188"/>
      <c r="J14" s="188"/>
      <c r="K14" s="188"/>
      <c r="L14" s="188"/>
      <c r="M14" s="188"/>
      <c r="N14" s="188"/>
      <c r="O14" s="188"/>
      <c r="P14" s="188"/>
      <c r="Q14" s="188"/>
      <c r="R14" s="188"/>
      <c r="S14" s="188"/>
      <c r="T14" s="188"/>
      <c r="U14" s="188"/>
      <c r="V14" s="188"/>
      <c r="W14" s="188"/>
      <c r="X14" s="188"/>
      <c r="Y14" s="188"/>
      <c r="Z14" s="188"/>
      <c r="AA14" s="188"/>
    </row>
    <row r="15" spans="1:27" ht="18.75" customHeight="1">
      <c r="A15" s="188"/>
      <c r="B15" s="751"/>
      <c r="C15" s="202"/>
      <c r="D15" s="788" t="s">
        <v>638</v>
      </c>
      <c r="E15" s="202"/>
      <c r="F15" s="752"/>
      <c r="G15" s="188"/>
      <c r="H15" s="188"/>
      <c r="I15" s="188"/>
      <c r="J15" s="188"/>
      <c r="K15" s="188"/>
      <c r="L15" s="188"/>
      <c r="M15" s="188"/>
      <c r="N15" s="188"/>
      <c r="O15" s="188"/>
      <c r="P15" s="188"/>
      <c r="Q15" s="188"/>
      <c r="R15" s="188"/>
      <c r="S15" s="188"/>
      <c r="T15" s="188"/>
      <c r="U15" s="188"/>
      <c r="V15" s="188"/>
      <c r="W15" s="188"/>
      <c r="X15" s="188"/>
      <c r="Y15" s="188"/>
      <c r="Z15" s="188"/>
      <c r="AA15" s="188"/>
    </row>
    <row r="16" spans="1:27" ht="46.5" customHeight="1">
      <c r="A16" s="188"/>
      <c r="B16" s="751"/>
      <c r="C16" s="202"/>
      <c r="D16" s="2545" t="s">
        <v>656</v>
      </c>
      <c r="E16" s="2546"/>
      <c r="F16" s="2547"/>
      <c r="G16" s="188"/>
      <c r="H16" s="188"/>
      <c r="I16" s="188"/>
      <c r="J16" s="188"/>
      <c r="K16" s="188"/>
      <c r="L16" s="188"/>
      <c r="M16" s="188"/>
      <c r="N16" s="188"/>
      <c r="O16" s="188"/>
      <c r="P16" s="188"/>
      <c r="Q16" s="188"/>
      <c r="R16" s="188"/>
      <c r="S16" s="188"/>
      <c r="T16" s="188"/>
      <c r="U16" s="188"/>
      <c r="V16" s="188"/>
      <c r="W16" s="188"/>
      <c r="X16" s="188"/>
      <c r="Y16" s="188"/>
      <c r="Z16" s="188"/>
      <c r="AA16" s="188"/>
    </row>
    <row r="17" spans="1:27" ht="6" customHeight="1">
      <c r="A17" s="188"/>
      <c r="B17" s="781"/>
      <c r="C17" s="777"/>
      <c r="D17" s="782"/>
      <c r="E17" s="777"/>
      <c r="F17" s="778"/>
      <c r="G17" s="188"/>
      <c r="H17" s="188"/>
      <c r="I17" s="188"/>
      <c r="J17" s="188"/>
      <c r="K17" s="188"/>
      <c r="L17" s="188"/>
      <c r="M17" s="188"/>
      <c r="N17" s="188"/>
      <c r="O17" s="188"/>
      <c r="P17" s="188"/>
      <c r="Q17" s="188"/>
      <c r="R17" s="188"/>
      <c r="S17" s="188"/>
      <c r="T17" s="188"/>
      <c r="U17" s="188"/>
      <c r="V17" s="188"/>
      <c r="W17" s="188"/>
      <c r="X17" s="188"/>
      <c r="Y17" s="188"/>
      <c r="Z17" s="188"/>
      <c r="AA17" s="188"/>
    </row>
    <row r="18" spans="1:27" ht="18.75" customHeight="1">
      <c r="A18" s="188"/>
      <c r="B18" s="775"/>
      <c r="C18" s="774"/>
      <c r="D18" s="788" t="s">
        <v>651</v>
      </c>
      <c r="E18" s="202"/>
      <c r="F18" s="752"/>
      <c r="G18" s="188"/>
      <c r="H18" s="188"/>
      <c r="I18" s="188"/>
      <c r="J18" s="188"/>
      <c r="K18" s="188"/>
      <c r="L18" s="188"/>
      <c r="M18" s="188"/>
      <c r="N18" s="188"/>
      <c r="O18" s="188"/>
      <c r="P18" s="188"/>
      <c r="Q18" s="188"/>
      <c r="R18" s="188"/>
      <c r="S18" s="188"/>
      <c r="T18" s="188"/>
      <c r="U18" s="188"/>
      <c r="V18" s="188"/>
      <c r="W18" s="188"/>
      <c r="X18" s="188"/>
      <c r="Y18" s="188"/>
      <c r="Z18" s="188"/>
      <c r="AA18" s="188"/>
    </row>
    <row r="19" spans="1:27" ht="105" customHeight="1">
      <c r="A19" s="188"/>
      <c r="B19" s="751"/>
      <c r="C19" s="202"/>
      <c r="D19" s="2545" t="s">
        <v>657</v>
      </c>
      <c r="E19" s="2546"/>
      <c r="F19" s="2547"/>
      <c r="G19" s="188"/>
      <c r="H19" s="188"/>
      <c r="I19" s="188"/>
      <c r="J19" s="188"/>
      <c r="K19" s="188"/>
      <c r="L19" s="188"/>
      <c r="M19" s="188"/>
      <c r="N19" s="188"/>
      <c r="O19" s="188"/>
      <c r="P19" s="188"/>
      <c r="Q19" s="188"/>
      <c r="R19" s="188"/>
      <c r="S19" s="188"/>
      <c r="T19" s="188"/>
      <c r="U19" s="188"/>
      <c r="V19" s="188"/>
      <c r="W19" s="188"/>
      <c r="X19" s="188"/>
      <c r="Y19" s="188"/>
      <c r="Z19" s="188"/>
      <c r="AA19" s="188"/>
    </row>
    <row r="20" spans="1:27" ht="6" customHeight="1">
      <c r="A20" s="188"/>
      <c r="B20" s="781"/>
      <c r="C20" s="777"/>
      <c r="D20" s="783"/>
      <c r="E20" s="777"/>
      <c r="F20" s="778"/>
      <c r="G20" s="188"/>
      <c r="H20" s="188"/>
      <c r="I20" s="188"/>
      <c r="J20" s="188"/>
      <c r="K20" s="188"/>
      <c r="L20" s="188"/>
      <c r="M20" s="188"/>
      <c r="N20" s="188"/>
      <c r="O20" s="188"/>
      <c r="P20" s="188"/>
      <c r="Q20" s="188"/>
      <c r="R20" s="188"/>
      <c r="S20" s="188"/>
      <c r="T20" s="188"/>
      <c r="U20" s="188"/>
      <c r="V20" s="188"/>
      <c r="W20" s="188"/>
      <c r="X20" s="188"/>
      <c r="Y20" s="188"/>
      <c r="Z20" s="188"/>
      <c r="AA20" s="188"/>
    </row>
    <row r="21" spans="1:27" ht="18.75" customHeight="1">
      <c r="A21" s="188"/>
      <c r="B21" s="751"/>
      <c r="C21" s="202"/>
      <c r="D21" s="787" t="s">
        <v>650</v>
      </c>
      <c r="E21" s="202"/>
      <c r="F21" s="752"/>
      <c r="G21" s="188"/>
      <c r="H21" s="188"/>
      <c r="I21" s="188"/>
      <c r="J21" s="188"/>
      <c r="K21" s="188"/>
      <c r="L21" s="188"/>
      <c r="M21" s="188"/>
      <c r="N21" s="188"/>
      <c r="O21" s="188"/>
      <c r="P21" s="188"/>
      <c r="Q21" s="188"/>
      <c r="R21" s="188"/>
      <c r="S21" s="188"/>
      <c r="T21" s="188"/>
      <c r="U21" s="188"/>
      <c r="V21" s="188"/>
      <c r="W21" s="188"/>
      <c r="X21" s="188"/>
      <c r="Y21" s="188"/>
      <c r="Z21" s="188"/>
      <c r="AA21" s="188"/>
    </row>
    <row r="22" spans="1:27" ht="34.5" customHeight="1">
      <c r="A22" s="188"/>
      <c r="B22" s="751"/>
      <c r="C22" s="202"/>
      <c r="D22" s="2545" t="s">
        <v>661</v>
      </c>
      <c r="E22" s="2546"/>
      <c r="F22" s="2547"/>
      <c r="G22" s="188"/>
      <c r="H22" s="188"/>
      <c r="I22" s="188"/>
      <c r="J22" s="188"/>
      <c r="K22" s="188"/>
      <c r="L22" s="188"/>
      <c r="M22" s="188"/>
      <c r="N22" s="188"/>
      <c r="O22" s="188"/>
      <c r="P22" s="188"/>
      <c r="Q22" s="188"/>
      <c r="R22" s="188"/>
      <c r="S22" s="188"/>
      <c r="T22" s="188"/>
      <c r="U22" s="188"/>
      <c r="V22" s="188"/>
      <c r="W22" s="188"/>
      <c r="X22" s="188"/>
      <c r="Y22" s="188"/>
      <c r="Z22" s="188"/>
      <c r="AA22" s="188"/>
    </row>
    <row r="23" spans="1:27" ht="6" customHeight="1">
      <c r="A23" s="188"/>
      <c r="B23" s="781"/>
      <c r="C23" s="777"/>
      <c r="D23" s="783"/>
      <c r="E23" s="777"/>
      <c r="F23" s="778"/>
      <c r="G23" s="188"/>
      <c r="H23" s="188"/>
      <c r="I23" s="188"/>
      <c r="J23" s="188"/>
      <c r="K23" s="188"/>
      <c r="L23" s="188"/>
      <c r="M23" s="188"/>
      <c r="N23" s="188"/>
      <c r="O23" s="188"/>
      <c r="P23" s="188"/>
      <c r="Q23" s="188"/>
      <c r="R23" s="188"/>
      <c r="S23" s="188"/>
      <c r="T23" s="188"/>
      <c r="U23" s="188"/>
      <c r="V23" s="188"/>
      <c r="W23" s="188"/>
      <c r="X23" s="188"/>
      <c r="Y23" s="188"/>
      <c r="Z23" s="188"/>
      <c r="AA23" s="188"/>
    </row>
    <row r="24" spans="1:27" ht="18.75" customHeight="1">
      <c r="A24" s="188"/>
      <c r="B24" s="775"/>
      <c r="C24" s="774"/>
      <c r="D24" s="788" t="s">
        <v>233</v>
      </c>
      <c r="E24" s="202"/>
      <c r="F24" s="752"/>
      <c r="G24" s="188"/>
      <c r="H24" s="188"/>
      <c r="I24" s="188"/>
      <c r="J24" s="188"/>
      <c r="K24" s="188"/>
      <c r="L24" s="188"/>
      <c r="M24" s="188"/>
      <c r="N24" s="188"/>
      <c r="O24" s="188"/>
      <c r="P24" s="188"/>
      <c r="Q24" s="188"/>
      <c r="R24" s="188"/>
      <c r="S24" s="188"/>
      <c r="T24" s="188"/>
      <c r="U24" s="188"/>
      <c r="V24" s="188"/>
      <c r="W24" s="188"/>
      <c r="X24" s="188"/>
      <c r="Y24" s="188"/>
      <c r="Z24" s="188"/>
      <c r="AA24" s="188"/>
    </row>
    <row r="25" spans="1:27" ht="143.5" customHeight="1">
      <c r="A25" s="188"/>
      <c r="B25" s="751"/>
      <c r="C25" s="202"/>
      <c r="D25" s="2545" t="s">
        <v>659</v>
      </c>
      <c r="E25" s="2546"/>
      <c r="F25" s="2547"/>
      <c r="G25" s="188"/>
      <c r="H25" s="188"/>
      <c r="I25" s="188"/>
      <c r="J25" s="188"/>
      <c r="K25" s="188"/>
      <c r="L25" s="188"/>
      <c r="M25" s="188"/>
      <c r="N25" s="188"/>
      <c r="O25" s="188"/>
      <c r="P25" s="188"/>
      <c r="Q25" s="188"/>
      <c r="R25" s="188"/>
      <c r="S25" s="188"/>
      <c r="T25" s="188"/>
      <c r="U25" s="188"/>
      <c r="V25" s="188"/>
      <c r="W25" s="188"/>
      <c r="X25" s="188"/>
      <c r="Y25" s="188"/>
      <c r="Z25" s="188"/>
      <c r="AA25" s="188"/>
    </row>
    <row r="26" spans="1:27" ht="7.5" customHeight="1">
      <c r="A26" s="188"/>
      <c r="B26" s="781"/>
      <c r="C26" s="777"/>
      <c r="D26" s="782"/>
      <c r="E26" s="777"/>
      <c r="F26" s="778"/>
      <c r="G26" s="188"/>
      <c r="H26" s="188"/>
      <c r="I26" s="188"/>
      <c r="J26" s="188"/>
      <c r="K26" s="188"/>
      <c r="L26" s="188"/>
      <c r="M26" s="188"/>
      <c r="N26" s="188"/>
      <c r="O26" s="188"/>
      <c r="P26" s="188"/>
      <c r="Q26" s="188"/>
      <c r="R26" s="188"/>
      <c r="S26" s="188"/>
      <c r="T26" s="188"/>
      <c r="U26" s="188"/>
      <c r="V26" s="188"/>
      <c r="W26" s="188"/>
      <c r="X26" s="188"/>
      <c r="Y26" s="188"/>
      <c r="Z26" s="188"/>
      <c r="AA26" s="188"/>
    </row>
    <row r="27" spans="1:27" ht="18.75" customHeight="1">
      <c r="A27" s="188"/>
      <c r="B27" s="775"/>
      <c r="C27" s="774"/>
      <c r="D27" s="788" t="s">
        <v>652</v>
      </c>
      <c r="E27" s="202"/>
      <c r="F27" s="752"/>
      <c r="G27" s="188"/>
      <c r="H27" s="188"/>
      <c r="I27" s="188"/>
      <c r="J27" s="188"/>
      <c r="K27" s="188"/>
      <c r="L27" s="188"/>
      <c r="M27" s="188"/>
      <c r="N27" s="188"/>
      <c r="O27" s="188"/>
      <c r="P27" s="188"/>
      <c r="Q27" s="188"/>
      <c r="R27" s="188"/>
      <c r="S27" s="188"/>
      <c r="T27" s="188"/>
      <c r="U27" s="188"/>
      <c r="V27" s="188"/>
      <c r="W27" s="188"/>
      <c r="X27" s="188"/>
      <c r="Y27" s="188"/>
      <c r="Z27" s="188"/>
      <c r="AA27" s="188"/>
    </row>
    <row r="28" spans="1:27" ht="75" customHeight="1">
      <c r="A28" s="188"/>
      <c r="B28" s="751"/>
      <c r="C28" s="202"/>
      <c r="D28" s="2545" t="s">
        <v>658</v>
      </c>
      <c r="E28" s="2546"/>
      <c r="F28" s="2547"/>
      <c r="G28" s="188"/>
      <c r="H28" s="188"/>
      <c r="I28" s="188"/>
      <c r="J28" s="188"/>
      <c r="K28" s="188"/>
      <c r="L28" s="188"/>
      <c r="M28" s="188"/>
      <c r="N28" s="188"/>
      <c r="O28" s="188"/>
      <c r="P28" s="188"/>
      <c r="Q28" s="188"/>
      <c r="R28" s="188"/>
      <c r="S28" s="188"/>
      <c r="T28" s="188"/>
      <c r="U28" s="188"/>
      <c r="V28" s="188"/>
      <c r="W28" s="188"/>
      <c r="X28" s="188"/>
      <c r="Y28" s="188"/>
      <c r="Z28" s="188"/>
      <c r="AA28" s="188"/>
    </row>
    <row r="29" spans="1:27">
      <c r="A29" s="188"/>
      <c r="B29" s="781"/>
      <c r="C29" s="777"/>
      <c r="D29" s="782"/>
      <c r="E29" s="777"/>
      <c r="F29" s="778"/>
      <c r="G29" s="188"/>
      <c r="H29" s="188"/>
      <c r="I29" s="188"/>
      <c r="J29" s="188"/>
      <c r="K29" s="188"/>
      <c r="L29" s="188"/>
      <c r="M29" s="188"/>
      <c r="N29" s="188"/>
      <c r="O29" s="188"/>
      <c r="P29" s="188"/>
      <c r="Q29" s="188"/>
      <c r="R29" s="188"/>
      <c r="S29" s="188"/>
      <c r="T29" s="188"/>
      <c r="U29" s="188"/>
      <c r="V29" s="188"/>
      <c r="W29" s="188"/>
      <c r="X29" s="188"/>
      <c r="Y29" s="188"/>
      <c r="Z29" s="188"/>
      <c r="AA29" s="188"/>
    </row>
    <row r="30" spans="1:27" ht="57.75" customHeight="1">
      <c r="A30" s="188"/>
      <c r="B30" s="2548" t="s">
        <v>234</v>
      </c>
      <c r="C30" s="2546"/>
      <c r="D30" s="2546"/>
      <c r="E30" s="2546"/>
      <c r="F30" s="2547"/>
      <c r="G30" s="188"/>
      <c r="H30" s="188"/>
      <c r="I30" s="188"/>
      <c r="J30" s="188"/>
      <c r="K30" s="188"/>
      <c r="L30" s="188"/>
      <c r="M30" s="188"/>
      <c r="N30" s="188"/>
      <c r="O30" s="188"/>
      <c r="P30" s="188"/>
      <c r="Q30" s="188"/>
      <c r="R30" s="188"/>
      <c r="S30" s="188"/>
      <c r="T30" s="188"/>
      <c r="U30" s="188"/>
      <c r="V30" s="188"/>
      <c r="W30" s="188"/>
      <c r="X30" s="188"/>
      <c r="Y30" s="188"/>
      <c r="Z30" s="188"/>
      <c r="AA30" s="188"/>
    </row>
    <row r="31" spans="1:27" ht="15" thickBot="1">
      <c r="A31" s="188"/>
      <c r="B31" s="776"/>
      <c r="C31" s="718"/>
      <c r="D31" s="718"/>
      <c r="E31" s="718"/>
      <c r="F31" s="753"/>
      <c r="G31" s="188"/>
      <c r="H31" s="188"/>
      <c r="I31" s="188"/>
      <c r="J31" s="188"/>
      <c r="K31" s="188"/>
      <c r="L31" s="188"/>
      <c r="M31" s="188"/>
      <c r="N31" s="188"/>
      <c r="O31" s="188"/>
      <c r="P31" s="188"/>
      <c r="Q31" s="188"/>
      <c r="R31" s="188"/>
      <c r="S31" s="188"/>
      <c r="T31" s="188"/>
      <c r="U31" s="188"/>
      <c r="V31" s="188"/>
      <c r="W31" s="188"/>
      <c r="X31" s="188"/>
      <c r="Y31" s="188"/>
      <c r="Z31" s="188"/>
      <c r="AA31" s="188"/>
    </row>
    <row r="32" spans="1:27">
      <c r="A32" s="188"/>
      <c r="B32" s="188"/>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row>
    <row r="33" spans="1:27">
      <c r="A33" s="188"/>
      <c r="B33" s="188"/>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row>
    <row r="34" spans="1:27">
      <c r="A34" s="188"/>
      <c r="B34" s="188"/>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row>
    <row r="35" spans="1:27">
      <c r="A35" s="188"/>
      <c r="B35" s="188"/>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1:27">
      <c r="A36" s="188"/>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row>
    <row r="37" spans="1:27">
      <c r="A37" s="188"/>
      <c r="B37" s="188"/>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row>
    <row r="38" spans="1:27">
      <c r="A38" s="188"/>
      <c r="B38" s="188"/>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row>
    <row r="39" spans="1:27">
      <c r="A39" s="188"/>
      <c r="B39" s="188"/>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row>
    <row r="40" spans="1:27">
      <c r="A40" s="188"/>
      <c r="B40" s="188"/>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row>
    <row r="41" spans="1:27">
      <c r="A41" s="188"/>
      <c r="B41" s="188"/>
      <c r="C41" s="188"/>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88"/>
    </row>
    <row r="42" spans="1:27">
      <c r="A42" s="188"/>
      <c r="B42" s="188"/>
      <c r="C42" s="188"/>
      <c r="D42" s="188"/>
      <c r="E42" s="188"/>
      <c r="F42" s="188"/>
      <c r="G42" s="188"/>
      <c r="H42" s="188"/>
      <c r="I42" s="188"/>
      <c r="J42" s="188"/>
      <c r="K42" s="188"/>
      <c r="L42" s="188"/>
      <c r="M42" s="188"/>
      <c r="N42" s="188"/>
      <c r="O42" s="188"/>
      <c r="P42" s="188"/>
      <c r="Q42" s="188"/>
      <c r="R42" s="188"/>
      <c r="S42" s="188"/>
      <c r="T42" s="188"/>
      <c r="U42" s="188"/>
      <c r="V42" s="188"/>
      <c r="W42" s="188"/>
      <c r="X42" s="188"/>
      <c r="Y42" s="188"/>
      <c r="Z42" s="188"/>
      <c r="AA42" s="188"/>
    </row>
    <row r="43" spans="1:27">
      <c r="A43" s="188"/>
      <c r="B43" s="188"/>
      <c r="C43" s="188"/>
      <c r="D43" s="188"/>
      <c r="E43" s="188"/>
      <c r="F43" s="188"/>
      <c r="G43" s="188"/>
      <c r="H43" s="188"/>
      <c r="I43" s="188"/>
      <c r="J43" s="188"/>
      <c r="K43" s="188"/>
      <c r="L43" s="188"/>
      <c r="M43" s="188"/>
      <c r="N43" s="188"/>
      <c r="O43" s="188"/>
      <c r="P43" s="188"/>
      <c r="Q43" s="188"/>
      <c r="R43" s="188"/>
      <c r="S43" s="188"/>
      <c r="T43" s="188"/>
      <c r="U43" s="188"/>
      <c r="V43" s="188"/>
      <c r="W43" s="188"/>
      <c r="X43" s="188"/>
      <c r="Y43" s="188"/>
      <c r="Z43" s="188"/>
      <c r="AA43" s="188"/>
    </row>
    <row r="44" spans="1:27">
      <c r="A44" s="188"/>
      <c r="B44" s="188"/>
      <c r="C44" s="188"/>
      <c r="D44" s="188"/>
      <c r="E44" s="188"/>
      <c r="F44" s="188"/>
      <c r="G44" s="188"/>
      <c r="H44" s="188"/>
      <c r="I44" s="188"/>
      <c r="J44" s="188"/>
      <c r="K44" s="188"/>
      <c r="L44" s="188"/>
      <c r="M44" s="188"/>
      <c r="N44" s="188"/>
      <c r="O44" s="188"/>
      <c r="P44" s="188"/>
      <c r="Q44" s="188"/>
      <c r="R44" s="188"/>
      <c r="S44" s="188"/>
      <c r="T44" s="188"/>
      <c r="U44" s="188"/>
      <c r="V44" s="188"/>
      <c r="W44" s="188"/>
      <c r="X44" s="188"/>
      <c r="Y44" s="188"/>
      <c r="Z44" s="188"/>
      <c r="AA44" s="188"/>
    </row>
    <row r="45" spans="1:27">
      <c r="A45" s="188"/>
      <c r="B45" s="188"/>
      <c r="C45" s="188"/>
      <c r="D45" s="188"/>
      <c r="E45" s="188"/>
      <c r="F45" s="188"/>
      <c r="G45" s="188"/>
      <c r="H45" s="188"/>
      <c r="I45" s="188"/>
      <c r="J45" s="188"/>
      <c r="K45" s="188"/>
      <c r="L45" s="188"/>
      <c r="M45" s="188"/>
      <c r="N45" s="188"/>
      <c r="O45" s="188"/>
      <c r="P45" s="188"/>
      <c r="Q45" s="188"/>
      <c r="R45" s="188"/>
      <c r="S45" s="188"/>
      <c r="T45" s="188"/>
      <c r="U45" s="188"/>
      <c r="V45" s="188"/>
      <c r="W45" s="188"/>
      <c r="X45" s="188"/>
      <c r="Y45" s="188"/>
      <c r="Z45" s="188"/>
      <c r="AA45" s="188"/>
    </row>
    <row r="46" spans="1:27">
      <c r="A46" s="188"/>
      <c r="B46" s="188"/>
      <c r="C46" s="188"/>
      <c r="D46" s="188"/>
      <c r="E46" s="188"/>
      <c r="F46" s="188"/>
      <c r="G46" s="188"/>
      <c r="H46" s="188"/>
      <c r="I46" s="188"/>
      <c r="J46" s="188"/>
      <c r="K46" s="188"/>
      <c r="L46" s="188"/>
      <c r="M46" s="188"/>
      <c r="N46" s="188"/>
      <c r="O46" s="188"/>
      <c r="P46" s="188"/>
      <c r="Q46" s="188"/>
      <c r="R46" s="188"/>
      <c r="S46" s="188"/>
      <c r="T46" s="188"/>
      <c r="U46" s="188"/>
      <c r="V46" s="188"/>
      <c r="W46" s="188"/>
      <c r="X46" s="188"/>
      <c r="Y46" s="188"/>
      <c r="Z46" s="188"/>
      <c r="AA46" s="188"/>
    </row>
    <row r="47" spans="1:27">
      <c r="A47" s="188"/>
      <c r="B47" s="188"/>
      <c r="C47" s="188"/>
      <c r="D47" s="188"/>
      <c r="E47" s="188"/>
      <c r="F47" s="188"/>
      <c r="G47" s="188"/>
      <c r="H47" s="188"/>
      <c r="I47" s="188"/>
      <c r="J47" s="188"/>
      <c r="K47" s="188"/>
      <c r="L47" s="188"/>
      <c r="M47" s="188"/>
      <c r="N47" s="188"/>
      <c r="O47" s="188"/>
      <c r="P47" s="188"/>
      <c r="Q47" s="188"/>
      <c r="R47" s="188"/>
      <c r="S47" s="188"/>
      <c r="T47" s="188"/>
      <c r="U47" s="188"/>
      <c r="V47" s="188"/>
      <c r="W47" s="188"/>
      <c r="X47" s="188"/>
      <c r="Y47" s="188"/>
      <c r="Z47" s="188"/>
      <c r="AA47" s="188"/>
    </row>
    <row r="48" spans="1:27">
      <c r="A48" s="188"/>
      <c r="B48" s="188"/>
      <c r="C48" s="188"/>
      <c r="D48" s="188"/>
      <c r="E48" s="188"/>
      <c r="F48" s="188"/>
      <c r="G48" s="188"/>
      <c r="H48" s="188"/>
      <c r="I48" s="188"/>
      <c r="J48" s="188"/>
      <c r="K48" s="188"/>
      <c r="L48" s="188"/>
      <c r="M48" s="188"/>
      <c r="N48" s="188"/>
      <c r="O48" s="188"/>
      <c r="P48" s="188"/>
      <c r="Q48" s="188"/>
      <c r="R48" s="188"/>
      <c r="S48" s="188"/>
      <c r="T48" s="188"/>
      <c r="U48" s="188"/>
      <c r="V48" s="188"/>
      <c r="W48" s="188"/>
      <c r="X48" s="188"/>
      <c r="Y48" s="188"/>
      <c r="Z48" s="188"/>
      <c r="AA48" s="188"/>
    </row>
    <row r="49" spans="1:27">
      <c r="A49" s="188"/>
      <c r="B49" s="188"/>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row>
    <row r="50" spans="1:27">
      <c r="A50" s="188"/>
      <c r="B50" s="188"/>
      <c r="C50" s="188"/>
      <c r="D50" s="188"/>
      <c r="E50" s="188"/>
      <c r="F50" s="188"/>
      <c r="G50" s="188"/>
      <c r="H50" s="188"/>
      <c r="I50" s="188"/>
      <c r="J50" s="188"/>
      <c r="K50" s="188"/>
      <c r="L50" s="188"/>
      <c r="M50" s="188"/>
      <c r="N50" s="188"/>
      <c r="O50" s="188"/>
      <c r="P50" s="188"/>
      <c r="Q50" s="188"/>
      <c r="R50" s="188"/>
      <c r="S50" s="188"/>
      <c r="T50" s="188"/>
      <c r="U50" s="188"/>
      <c r="V50" s="188"/>
      <c r="W50" s="188"/>
      <c r="X50" s="188"/>
      <c r="Y50" s="188"/>
      <c r="Z50" s="188"/>
      <c r="AA50" s="188"/>
    </row>
    <row r="51" spans="1:27">
      <c r="A51" s="188"/>
      <c r="B51" s="188"/>
      <c r="C51" s="188"/>
      <c r="D51" s="188"/>
      <c r="E51" s="188"/>
      <c r="F51" s="188"/>
      <c r="G51" s="188"/>
      <c r="H51" s="188"/>
      <c r="I51" s="188"/>
      <c r="J51" s="188"/>
      <c r="K51" s="188"/>
      <c r="L51" s="188"/>
      <c r="M51" s="188"/>
      <c r="N51" s="188"/>
      <c r="O51" s="188"/>
      <c r="P51" s="188"/>
      <c r="Q51" s="188"/>
      <c r="R51" s="188"/>
      <c r="S51" s="188"/>
      <c r="T51" s="188"/>
      <c r="U51" s="188"/>
      <c r="V51" s="188"/>
      <c r="W51" s="188"/>
      <c r="X51" s="188"/>
      <c r="Y51" s="188"/>
      <c r="Z51" s="188"/>
      <c r="AA51" s="188"/>
    </row>
    <row r="52" spans="1:27">
      <c r="A52" s="188"/>
      <c r="B52" s="188"/>
      <c r="C52" s="188"/>
      <c r="D52" s="188"/>
      <c r="E52" s="188"/>
      <c r="F52" s="188"/>
      <c r="G52" s="188"/>
      <c r="H52" s="188"/>
      <c r="I52" s="188"/>
      <c r="J52" s="188"/>
      <c r="K52" s="188"/>
      <c r="L52" s="188"/>
      <c r="M52" s="188"/>
      <c r="N52" s="188"/>
      <c r="O52" s="188"/>
      <c r="P52" s="188"/>
      <c r="Q52" s="188"/>
      <c r="R52" s="188"/>
      <c r="S52" s="188"/>
      <c r="T52" s="188"/>
      <c r="U52" s="188"/>
      <c r="V52" s="188"/>
      <c r="W52" s="188"/>
      <c r="X52" s="188"/>
      <c r="Y52" s="188"/>
      <c r="Z52" s="188"/>
      <c r="AA52" s="188"/>
    </row>
    <row r="53" spans="1:27">
      <c r="A53" s="188"/>
      <c r="B53" s="188"/>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row>
    <row r="54" spans="1:27">
      <c r="A54" s="188"/>
      <c r="B54" s="188"/>
      <c r="C54" s="188"/>
      <c r="D54" s="188"/>
      <c r="E54" s="188"/>
      <c r="F54" s="188"/>
      <c r="G54" s="188"/>
      <c r="H54" s="188"/>
      <c r="I54" s="188"/>
      <c r="J54" s="188"/>
      <c r="K54" s="188"/>
      <c r="L54" s="188"/>
      <c r="M54" s="188"/>
      <c r="N54" s="188"/>
      <c r="O54" s="188"/>
      <c r="P54" s="188"/>
      <c r="Q54" s="188"/>
      <c r="R54" s="188"/>
      <c r="S54" s="188"/>
      <c r="T54" s="188"/>
      <c r="U54" s="188"/>
      <c r="V54" s="188"/>
      <c r="W54" s="188"/>
      <c r="X54" s="188"/>
      <c r="Y54" s="188"/>
      <c r="Z54" s="188"/>
      <c r="AA54" s="188"/>
    </row>
    <row r="55" spans="1:27">
      <c r="A55" s="188"/>
      <c r="B55" s="188"/>
      <c r="C55" s="188"/>
      <c r="D55" s="188"/>
      <c r="E55" s="188"/>
      <c r="F55" s="188"/>
      <c r="G55" s="188"/>
      <c r="H55" s="188"/>
      <c r="I55" s="188"/>
      <c r="J55" s="188"/>
      <c r="K55" s="188"/>
      <c r="L55" s="188"/>
      <c r="M55" s="188"/>
      <c r="N55" s="188"/>
      <c r="O55" s="188"/>
      <c r="P55" s="188"/>
      <c r="Q55" s="188"/>
      <c r="R55" s="188"/>
      <c r="S55" s="188"/>
      <c r="T55" s="188"/>
      <c r="U55" s="188"/>
      <c r="V55" s="188"/>
      <c r="W55" s="188"/>
      <c r="X55" s="188"/>
      <c r="Y55" s="188"/>
      <c r="Z55" s="188"/>
      <c r="AA55" s="188"/>
    </row>
    <row r="56" spans="1:27">
      <c r="A56" s="188"/>
      <c r="B56" s="188"/>
      <c r="C56" s="188"/>
      <c r="D56" s="188"/>
      <c r="E56" s="188"/>
      <c r="F56" s="188"/>
      <c r="G56" s="188"/>
      <c r="H56" s="188"/>
      <c r="I56" s="188"/>
      <c r="J56" s="188"/>
      <c r="K56" s="188"/>
      <c r="L56" s="188"/>
      <c r="M56" s="188"/>
      <c r="N56" s="188"/>
      <c r="O56" s="188"/>
      <c r="P56" s="188"/>
      <c r="Q56" s="188"/>
      <c r="R56" s="188"/>
      <c r="S56" s="188"/>
      <c r="T56" s="188"/>
      <c r="U56" s="188"/>
      <c r="V56" s="188"/>
      <c r="W56" s="188"/>
      <c r="X56" s="188"/>
      <c r="Y56" s="188"/>
      <c r="Z56" s="188"/>
      <c r="AA56" s="188"/>
    </row>
    <row r="57" spans="1:27">
      <c r="A57" s="188"/>
      <c r="B57" s="188"/>
      <c r="C57" s="188"/>
      <c r="D57" s="188"/>
      <c r="E57" s="188"/>
      <c r="F57" s="188"/>
      <c r="G57" s="188"/>
      <c r="H57" s="188"/>
      <c r="I57" s="188"/>
      <c r="J57" s="188"/>
      <c r="K57" s="188"/>
      <c r="L57" s="188"/>
      <c r="M57" s="188"/>
      <c r="N57" s="188"/>
      <c r="O57" s="188"/>
      <c r="P57" s="188"/>
      <c r="Q57" s="188"/>
      <c r="R57" s="188"/>
      <c r="S57" s="188"/>
      <c r="T57" s="188"/>
      <c r="U57" s="188"/>
      <c r="V57" s="188"/>
      <c r="W57" s="188"/>
      <c r="X57" s="188"/>
      <c r="Y57" s="188"/>
      <c r="Z57" s="188"/>
      <c r="AA57" s="188"/>
    </row>
    <row r="58" spans="1:27">
      <c r="A58" s="188"/>
      <c r="B58" s="188"/>
      <c r="C58" s="188"/>
      <c r="D58" s="188"/>
      <c r="E58" s="188"/>
      <c r="F58" s="188"/>
      <c r="G58" s="188"/>
      <c r="H58" s="188"/>
      <c r="I58" s="188"/>
      <c r="J58" s="188"/>
      <c r="K58" s="188"/>
      <c r="L58" s="188"/>
      <c r="M58" s="188"/>
      <c r="N58" s="188"/>
      <c r="O58" s="188"/>
      <c r="P58" s="188"/>
      <c r="Q58" s="188"/>
      <c r="R58" s="188"/>
      <c r="S58" s="188"/>
      <c r="T58" s="188"/>
      <c r="U58" s="188"/>
      <c r="V58" s="188"/>
      <c r="W58" s="188"/>
      <c r="X58" s="188"/>
      <c r="Y58" s="188"/>
      <c r="Z58" s="188"/>
      <c r="AA58" s="188"/>
    </row>
    <row r="59" spans="1:27">
      <c r="A59" s="188"/>
      <c r="B59" s="188"/>
      <c r="C59" s="188"/>
      <c r="D59" s="188"/>
      <c r="E59" s="188"/>
      <c r="F59" s="188"/>
      <c r="G59" s="188"/>
      <c r="H59" s="188"/>
      <c r="I59" s="188"/>
      <c r="J59" s="188"/>
      <c r="K59" s="188"/>
      <c r="L59" s="188"/>
      <c r="M59" s="188"/>
      <c r="N59" s="188"/>
      <c r="O59" s="188"/>
      <c r="P59" s="188"/>
      <c r="Q59" s="188"/>
      <c r="R59" s="188"/>
      <c r="S59" s="188"/>
      <c r="T59" s="188"/>
      <c r="U59" s="188"/>
      <c r="V59" s="188"/>
      <c r="W59" s="188"/>
      <c r="X59" s="188"/>
      <c r="Y59" s="188"/>
      <c r="Z59" s="188"/>
      <c r="AA59" s="188"/>
    </row>
    <row r="60" spans="1:27">
      <c r="A60" s="188"/>
      <c r="B60" s="188"/>
      <c r="C60" s="188"/>
      <c r="D60" s="188"/>
      <c r="E60" s="188"/>
      <c r="F60" s="188"/>
      <c r="G60" s="188"/>
      <c r="H60" s="188"/>
      <c r="I60" s="188"/>
      <c r="J60" s="188"/>
      <c r="K60" s="188"/>
      <c r="L60" s="188"/>
      <c r="M60" s="188"/>
      <c r="N60" s="188"/>
      <c r="O60" s="188"/>
      <c r="P60" s="188"/>
      <c r="Q60" s="188"/>
      <c r="R60" s="188"/>
      <c r="S60" s="188"/>
      <c r="T60" s="188"/>
      <c r="U60" s="188"/>
      <c r="V60" s="188"/>
      <c r="W60" s="188"/>
      <c r="X60" s="188"/>
      <c r="Y60" s="188"/>
      <c r="Z60" s="188"/>
      <c r="AA60" s="188"/>
    </row>
    <row r="61" spans="1:27">
      <c r="A61" s="188"/>
      <c r="B61" s="188"/>
      <c r="C61" s="188"/>
      <c r="D61" s="188"/>
      <c r="E61" s="188"/>
      <c r="F61" s="188"/>
      <c r="G61" s="188"/>
      <c r="H61" s="188"/>
      <c r="I61" s="188"/>
      <c r="J61" s="188"/>
      <c r="K61" s="188"/>
      <c r="L61" s="188"/>
      <c r="M61" s="188"/>
      <c r="N61" s="188"/>
      <c r="O61" s="188"/>
      <c r="P61" s="188"/>
      <c r="Q61" s="188"/>
      <c r="R61" s="188"/>
      <c r="S61" s="188"/>
      <c r="T61" s="188"/>
      <c r="U61" s="188"/>
      <c r="V61" s="188"/>
      <c r="W61" s="188"/>
      <c r="X61" s="188"/>
      <c r="Y61" s="188"/>
      <c r="Z61" s="188"/>
      <c r="AA61" s="188"/>
    </row>
    <row r="62" spans="1:27">
      <c r="A62" s="188"/>
      <c r="B62" s="188"/>
      <c r="C62" s="188"/>
      <c r="D62" s="188"/>
      <c r="E62" s="188"/>
      <c r="F62" s="188"/>
      <c r="G62" s="188"/>
      <c r="H62" s="188"/>
      <c r="I62" s="188"/>
      <c r="J62" s="188"/>
      <c r="K62" s="188"/>
      <c r="L62" s="188"/>
      <c r="M62" s="188"/>
      <c r="N62" s="188"/>
      <c r="O62" s="188"/>
      <c r="P62" s="188"/>
      <c r="Q62" s="188"/>
      <c r="R62" s="188"/>
      <c r="S62" s="188"/>
      <c r="T62" s="188"/>
      <c r="U62" s="188"/>
      <c r="V62" s="188"/>
      <c r="W62" s="188"/>
      <c r="X62" s="188"/>
      <c r="Y62" s="188"/>
      <c r="Z62" s="188"/>
      <c r="AA62" s="188"/>
    </row>
    <row r="63" spans="1:27">
      <c r="A63" s="188"/>
      <c r="B63" s="188"/>
      <c r="C63" s="188"/>
      <c r="D63" s="188"/>
      <c r="E63" s="188"/>
      <c r="F63" s="188"/>
      <c r="G63" s="188"/>
      <c r="H63" s="188"/>
      <c r="I63" s="188"/>
      <c r="J63" s="188"/>
      <c r="K63" s="188"/>
      <c r="L63" s="188"/>
      <c r="M63" s="188"/>
      <c r="N63" s="188"/>
      <c r="O63" s="188"/>
      <c r="P63" s="188"/>
      <c r="Q63" s="188"/>
      <c r="R63" s="188"/>
      <c r="S63" s="188"/>
      <c r="T63" s="188"/>
      <c r="U63" s="188"/>
      <c r="V63" s="188"/>
      <c r="W63" s="188"/>
      <c r="X63" s="188"/>
      <c r="Y63" s="188"/>
      <c r="Z63" s="188"/>
      <c r="AA63" s="188"/>
    </row>
    <row r="64" spans="1:27">
      <c r="A64" s="188"/>
      <c r="B64" s="188"/>
      <c r="C64" s="188"/>
      <c r="D64" s="188"/>
      <c r="E64" s="188"/>
      <c r="F64" s="188"/>
      <c r="G64" s="188"/>
      <c r="H64" s="188"/>
      <c r="I64" s="188"/>
      <c r="J64" s="188"/>
      <c r="K64" s="188"/>
      <c r="L64" s="188"/>
      <c r="M64" s="188"/>
      <c r="N64" s="188"/>
      <c r="O64" s="188"/>
      <c r="P64" s="188"/>
      <c r="Q64" s="188"/>
      <c r="R64" s="188"/>
      <c r="S64" s="188"/>
      <c r="T64" s="188"/>
      <c r="U64" s="188"/>
      <c r="V64" s="188"/>
      <c r="W64" s="188"/>
      <c r="X64" s="188"/>
      <c r="Y64" s="188"/>
      <c r="Z64" s="188"/>
      <c r="AA64" s="188"/>
    </row>
    <row r="65" spans="1:27">
      <c r="A65" s="188"/>
      <c r="B65" s="188"/>
      <c r="C65" s="188"/>
      <c r="D65" s="188"/>
      <c r="E65" s="188"/>
      <c r="F65" s="188"/>
      <c r="G65" s="188"/>
      <c r="H65" s="188"/>
      <c r="I65" s="188"/>
      <c r="J65" s="188"/>
      <c r="K65" s="188"/>
      <c r="L65" s="188"/>
      <c r="M65" s="188"/>
      <c r="N65" s="188"/>
      <c r="O65" s="188"/>
      <c r="P65" s="188"/>
      <c r="Q65" s="188"/>
      <c r="R65" s="188"/>
      <c r="S65" s="188"/>
      <c r="T65" s="188"/>
      <c r="U65" s="188"/>
      <c r="V65" s="188"/>
      <c r="W65" s="188"/>
      <c r="X65" s="188"/>
      <c r="Y65" s="188"/>
      <c r="Z65" s="188"/>
      <c r="AA65" s="188"/>
    </row>
    <row r="66" spans="1:27">
      <c r="A66" s="188"/>
      <c r="B66" s="188"/>
      <c r="C66" s="188"/>
      <c r="D66" s="188"/>
      <c r="E66" s="188"/>
      <c r="F66" s="188"/>
      <c r="G66" s="188"/>
      <c r="H66" s="188"/>
      <c r="I66" s="188"/>
      <c r="J66" s="188"/>
      <c r="K66" s="188"/>
      <c r="L66" s="188"/>
      <c r="M66" s="188"/>
      <c r="N66" s="188"/>
      <c r="O66" s="188"/>
      <c r="P66" s="188"/>
      <c r="Q66" s="188"/>
      <c r="R66" s="188"/>
      <c r="S66" s="188"/>
      <c r="T66" s="188"/>
      <c r="U66" s="188"/>
      <c r="V66" s="188"/>
      <c r="W66" s="188"/>
      <c r="X66" s="188"/>
      <c r="Y66" s="188"/>
      <c r="Z66" s="188"/>
      <c r="AA66" s="188"/>
    </row>
    <row r="67" spans="1:27">
      <c r="A67" s="188"/>
      <c r="B67" s="188"/>
      <c r="C67" s="188"/>
      <c r="D67" s="188"/>
      <c r="E67" s="188"/>
      <c r="F67" s="188"/>
      <c r="G67" s="188"/>
      <c r="H67" s="188"/>
      <c r="I67" s="188"/>
      <c r="J67" s="188"/>
      <c r="K67" s="188"/>
      <c r="L67" s="188"/>
      <c r="M67" s="188"/>
      <c r="N67" s="188"/>
      <c r="O67" s="188"/>
      <c r="P67" s="188"/>
      <c r="Q67" s="188"/>
      <c r="R67" s="188"/>
      <c r="S67" s="188"/>
      <c r="T67" s="188"/>
      <c r="U67" s="188"/>
      <c r="V67" s="188"/>
      <c r="W67" s="188"/>
      <c r="X67" s="188"/>
      <c r="Y67" s="188"/>
      <c r="Z67" s="188"/>
      <c r="AA67" s="188"/>
    </row>
    <row r="68" spans="1:27">
      <c r="A68" s="188"/>
      <c r="B68" s="188"/>
      <c r="C68" s="188"/>
      <c r="D68" s="188"/>
      <c r="E68" s="188"/>
      <c r="F68" s="188"/>
      <c r="G68" s="188"/>
      <c r="H68" s="188"/>
      <c r="I68" s="188"/>
      <c r="J68" s="188"/>
      <c r="K68" s="188"/>
      <c r="L68" s="188"/>
      <c r="M68" s="188"/>
      <c r="N68" s="188"/>
      <c r="O68" s="188"/>
      <c r="P68" s="188"/>
      <c r="Q68" s="188"/>
      <c r="R68" s="188"/>
      <c r="S68" s="188"/>
      <c r="T68" s="188"/>
      <c r="U68" s="188"/>
      <c r="V68" s="188"/>
      <c r="W68" s="188"/>
      <c r="X68" s="188"/>
      <c r="Y68" s="188"/>
      <c r="Z68" s="188"/>
      <c r="AA68" s="188"/>
    </row>
    <row r="69" spans="1:27">
      <c r="A69" s="188"/>
      <c r="B69" s="188"/>
      <c r="C69" s="188"/>
      <c r="D69" s="188"/>
      <c r="E69" s="188"/>
      <c r="F69" s="188"/>
      <c r="G69" s="188"/>
      <c r="H69" s="188"/>
      <c r="I69" s="188"/>
      <c r="J69" s="188"/>
      <c r="K69" s="188"/>
      <c r="L69" s="188"/>
      <c r="M69" s="188"/>
      <c r="N69" s="188"/>
      <c r="O69" s="188"/>
      <c r="P69" s="188"/>
      <c r="Q69" s="188"/>
      <c r="R69" s="188"/>
      <c r="S69" s="188"/>
      <c r="T69" s="188"/>
      <c r="U69" s="188"/>
      <c r="V69" s="188"/>
      <c r="W69" s="188"/>
      <c r="X69" s="188"/>
      <c r="Y69" s="188"/>
      <c r="Z69" s="188"/>
      <c r="AA69" s="188"/>
    </row>
    <row r="70" spans="1:27">
      <c r="A70" s="188"/>
      <c r="B70" s="188"/>
      <c r="C70" s="188"/>
      <c r="D70" s="188"/>
      <c r="E70" s="188"/>
      <c r="F70" s="188"/>
      <c r="G70" s="188"/>
      <c r="H70" s="188"/>
      <c r="I70" s="188"/>
      <c r="J70" s="188"/>
      <c r="K70" s="188"/>
      <c r="L70" s="188"/>
      <c r="M70" s="188"/>
      <c r="N70" s="188"/>
      <c r="O70" s="188"/>
      <c r="P70" s="188"/>
      <c r="Q70" s="188"/>
      <c r="R70" s="188"/>
      <c r="S70" s="188"/>
      <c r="T70" s="188"/>
      <c r="U70" s="188"/>
      <c r="V70" s="188"/>
      <c r="W70" s="188"/>
      <c r="X70" s="188"/>
      <c r="Y70" s="188"/>
      <c r="Z70" s="188"/>
      <c r="AA70" s="188"/>
    </row>
    <row r="71" spans="1:27">
      <c r="A71" s="188"/>
      <c r="B71" s="188"/>
      <c r="C71" s="188"/>
      <c r="D71" s="188"/>
      <c r="E71" s="188"/>
      <c r="F71" s="188"/>
      <c r="G71" s="188"/>
      <c r="H71" s="188"/>
      <c r="I71" s="188"/>
      <c r="J71" s="188"/>
      <c r="K71" s="188"/>
      <c r="L71" s="188"/>
      <c r="M71" s="188"/>
      <c r="N71" s="188"/>
      <c r="O71" s="188"/>
      <c r="P71" s="188"/>
      <c r="Q71" s="188"/>
      <c r="R71" s="188"/>
      <c r="S71" s="188"/>
      <c r="T71" s="188"/>
      <c r="U71" s="188"/>
      <c r="V71" s="188"/>
      <c r="W71" s="188"/>
      <c r="X71" s="188"/>
      <c r="Y71" s="188"/>
      <c r="Z71" s="188"/>
      <c r="AA71" s="188"/>
    </row>
    <row r="72" spans="1:27">
      <c r="A72" s="188"/>
      <c r="B72" s="188"/>
      <c r="C72" s="188"/>
      <c r="D72" s="188"/>
      <c r="E72" s="188"/>
      <c r="F72" s="188"/>
      <c r="G72" s="188"/>
      <c r="H72" s="188"/>
      <c r="I72" s="188"/>
      <c r="J72" s="188"/>
      <c r="K72" s="188"/>
      <c r="L72" s="188"/>
      <c r="M72" s="188"/>
      <c r="N72" s="188"/>
      <c r="O72" s="188"/>
      <c r="P72" s="188"/>
      <c r="Q72" s="188"/>
      <c r="R72" s="188"/>
      <c r="S72" s="188"/>
      <c r="T72" s="188"/>
      <c r="U72" s="188"/>
      <c r="V72" s="188"/>
      <c r="W72" s="188"/>
      <c r="X72" s="188"/>
      <c r="Y72" s="188"/>
      <c r="Z72" s="188"/>
      <c r="AA72" s="188"/>
    </row>
    <row r="73" spans="1:27">
      <c r="A73" s="188"/>
      <c r="B73" s="188"/>
      <c r="C73" s="188"/>
      <c r="D73" s="188"/>
      <c r="E73" s="188"/>
      <c r="F73" s="188"/>
      <c r="G73" s="188"/>
      <c r="H73" s="188"/>
      <c r="I73" s="188"/>
      <c r="J73" s="188"/>
      <c r="K73" s="188"/>
      <c r="L73" s="188"/>
      <c r="M73" s="188"/>
      <c r="N73" s="188"/>
      <c r="O73" s="188"/>
      <c r="P73" s="188"/>
      <c r="Q73" s="188"/>
      <c r="R73" s="188"/>
      <c r="S73" s="188"/>
      <c r="T73" s="188"/>
      <c r="U73" s="188"/>
      <c r="V73" s="188"/>
      <c r="W73" s="188"/>
      <c r="X73" s="188"/>
      <c r="Y73" s="188"/>
      <c r="Z73" s="188"/>
      <c r="AA73" s="188"/>
    </row>
    <row r="74" spans="1:27">
      <c r="A74" s="188"/>
      <c r="B74" s="188"/>
      <c r="C74" s="188"/>
      <c r="D74" s="188"/>
      <c r="E74" s="188"/>
      <c r="F74" s="188"/>
      <c r="G74" s="188"/>
      <c r="H74" s="188"/>
      <c r="I74" s="188"/>
      <c r="J74" s="188"/>
      <c r="K74" s="188"/>
      <c r="L74" s="188"/>
      <c r="M74" s="188"/>
      <c r="N74" s="188"/>
      <c r="O74" s="188"/>
      <c r="P74" s="188"/>
      <c r="Q74" s="188"/>
      <c r="R74" s="188"/>
      <c r="S74" s="188"/>
      <c r="T74" s="188"/>
      <c r="U74" s="188"/>
      <c r="V74" s="188"/>
      <c r="W74" s="188"/>
      <c r="X74" s="188"/>
      <c r="Y74" s="188"/>
      <c r="Z74" s="188"/>
      <c r="AA74" s="188"/>
    </row>
    <row r="75" spans="1:27">
      <c r="A75" s="188"/>
      <c r="B75" s="188"/>
      <c r="C75" s="188"/>
      <c r="D75" s="188"/>
      <c r="E75" s="188"/>
      <c r="F75" s="188"/>
      <c r="G75" s="188"/>
      <c r="H75" s="188"/>
      <c r="I75" s="188"/>
      <c r="J75" s="188"/>
      <c r="K75" s="188"/>
      <c r="L75" s="188"/>
      <c r="M75" s="188"/>
      <c r="N75" s="188"/>
      <c r="O75" s="188"/>
      <c r="P75" s="188"/>
      <c r="Q75" s="188"/>
      <c r="R75" s="188"/>
      <c r="S75" s="188"/>
      <c r="T75" s="188"/>
      <c r="U75" s="188"/>
      <c r="V75" s="188"/>
      <c r="W75" s="188"/>
      <c r="X75" s="188"/>
      <c r="Y75" s="188"/>
      <c r="Z75" s="188"/>
      <c r="AA75" s="188"/>
    </row>
    <row r="76" spans="1:27">
      <c r="A76" s="188"/>
      <c r="B76" s="188"/>
      <c r="C76" s="188"/>
      <c r="D76" s="188"/>
      <c r="E76" s="188"/>
      <c r="F76" s="188"/>
      <c r="G76" s="188"/>
      <c r="H76" s="188"/>
      <c r="I76" s="188"/>
      <c r="J76" s="188"/>
      <c r="K76" s="188"/>
      <c r="L76" s="188"/>
      <c r="M76" s="188"/>
      <c r="N76" s="188"/>
      <c r="O76" s="188"/>
      <c r="P76" s="188"/>
      <c r="Q76" s="188"/>
      <c r="R76" s="188"/>
      <c r="S76" s="188"/>
      <c r="T76" s="188"/>
      <c r="U76" s="188"/>
      <c r="V76" s="188"/>
      <c r="W76" s="188"/>
      <c r="X76" s="188"/>
      <c r="Y76" s="188"/>
      <c r="Z76" s="188"/>
      <c r="AA76" s="188"/>
    </row>
    <row r="77" spans="1:27">
      <c r="A77" s="188"/>
      <c r="B77" s="188"/>
      <c r="C77" s="188"/>
      <c r="D77" s="188"/>
      <c r="E77" s="188"/>
      <c r="F77" s="188"/>
      <c r="G77" s="188"/>
      <c r="H77" s="188"/>
      <c r="I77" s="188"/>
      <c r="J77" s="188"/>
      <c r="K77" s="188"/>
      <c r="L77" s="188"/>
      <c r="M77" s="188"/>
      <c r="N77" s="188"/>
      <c r="O77" s="188"/>
      <c r="P77" s="188"/>
      <c r="Q77" s="188"/>
      <c r="R77" s="188"/>
      <c r="S77" s="188"/>
      <c r="T77" s="188"/>
      <c r="U77" s="188"/>
      <c r="V77" s="188"/>
      <c r="W77" s="188"/>
      <c r="X77" s="188"/>
      <c r="Y77" s="188"/>
      <c r="Z77" s="188"/>
      <c r="AA77" s="188"/>
    </row>
    <row r="78" spans="1:27">
      <c r="A78" s="188"/>
      <c r="B78" s="188"/>
      <c r="C78" s="188"/>
      <c r="D78" s="188"/>
      <c r="E78" s="188"/>
      <c r="F78" s="188"/>
      <c r="G78" s="188"/>
      <c r="H78" s="188"/>
      <c r="I78" s="188"/>
      <c r="J78" s="188"/>
      <c r="K78" s="188"/>
      <c r="L78" s="188"/>
      <c r="M78" s="188"/>
      <c r="N78" s="188"/>
      <c r="O78" s="188"/>
      <c r="P78" s="188"/>
      <c r="Q78" s="188"/>
      <c r="R78" s="188"/>
      <c r="S78" s="188"/>
      <c r="T78" s="188"/>
      <c r="U78" s="188"/>
      <c r="V78" s="188"/>
      <c r="W78" s="188"/>
      <c r="X78" s="188"/>
      <c r="Y78" s="188"/>
      <c r="Z78" s="188"/>
      <c r="AA78" s="188"/>
    </row>
    <row r="79" spans="1:27">
      <c r="A79" s="188"/>
      <c r="B79" s="188"/>
      <c r="C79" s="188"/>
      <c r="D79" s="188"/>
      <c r="E79" s="188"/>
      <c r="F79" s="188"/>
      <c r="G79" s="188"/>
      <c r="H79" s="188"/>
      <c r="I79" s="188"/>
      <c r="J79" s="188"/>
      <c r="K79" s="188"/>
      <c r="L79" s="188"/>
      <c r="M79" s="188"/>
      <c r="N79" s="188"/>
      <c r="O79" s="188"/>
      <c r="P79" s="188"/>
      <c r="Q79" s="188"/>
      <c r="R79" s="188"/>
      <c r="S79" s="188"/>
      <c r="T79" s="188"/>
      <c r="U79" s="188"/>
      <c r="V79" s="188"/>
      <c r="W79" s="188"/>
      <c r="X79" s="188"/>
      <c r="Y79" s="188"/>
      <c r="Z79" s="188"/>
      <c r="AA79" s="188"/>
    </row>
    <row r="80" spans="1:27">
      <c r="A80" s="188"/>
      <c r="B80" s="188"/>
      <c r="C80" s="188"/>
      <c r="D80" s="188"/>
      <c r="E80" s="188"/>
      <c r="F80" s="188"/>
      <c r="G80" s="188"/>
      <c r="H80" s="188"/>
      <c r="I80" s="188"/>
      <c r="J80" s="188"/>
      <c r="K80" s="188"/>
      <c r="L80" s="188"/>
      <c r="M80" s="188"/>
      <c r="N80" s="188"/>
      <c r="O80" s="188"/>
      <c r="P80" s="188"/>
      <c r="Q80" s="188"/>
      <c r="R80" s="188"/>
      <c r="S80" s="188"/>
      <c r="T80" s="188"/>
      <c r="U80" s="188"/>
      <c r="V80" s="188"/>
      <c r="W80" s="188"/>
      <c r="X80" s="188"/>
      <c r="Y80" s="188"/>
      <c r="Z80" s="188"/>
      <c r="AA80" s="188"/>
    </row>
    <row r="81" spans="1:27">
      <c r="A81" s="188"/>
      <c r="B81" s="188"/>
      <c r="C81" s="188"/>
      <c r="D81" s="188"/>
      <c r="E81" s="188"/>
      <c r="F81" s="188"/>
      <c r="G81" s="188"/>
      <c r="H81" s="188"/>
      <c r="I81" s="188"/>
      <c r="J81" s="188"/>
      <c r="K81" s="188"/>
      <c r="L81" s="188"/>
      <c r="M81" s="188"/>
      <c r="N81" s="188"/>
      <c r="O81" s="188"/>
      <c r="P81" s="188"/>
      <c r="Q81" s="188"/>
      <c r="R81" s="188"/>
      <c r="S81" s="188"/>
      <c r="T81" s="188"/>
      <c r="U81" s="188"/>
      <c r="V81" s="188"/>
      <c r="W81" s="188"/>
      <c r="X81" s="188"/>
      <c r="Y81" s="188"/>
      <c r="Z81" s="188"/>
      <c r="AA81" s="188"/>
    </row>
    <row r="82" spans="1:27">
      <c r="A82" s="188"/>
      <c r="B82" s="188"/>
      <c r="C82" s="188"/>
      <c r="D82" s="188"/>
      <c r="E82" s="188"/>
      <c r="F82" s="188"/>
      <c r="G82" s="188"/>
      <c r="H82" s="188"/>
      <c r="I82" s="188"/>
      <c r="J82" s="188"/>
      <c r="K82" s="188"/>
      <c r="L82" s="188"/>
      <c r="M82" s="188"/>
      <c r="N82" s="188"/>
      <c r="O82" s="188"/>
      <c r="P82" s="188"/>
      <c r="Q82" s="188"/>
      <c r="R82" s="188"/>
      <c r="S82" s="188"/>
      <c r="T82" s="188"/>
      <c r="U82" s="188"/>
      <c r="V82" s="188"/>
      <c r="W82" s="188"/>
      <c r="X82" s="188"/>
      <c r="Y82" s="188"/>
      <c r="Z82" s="188"/>
      <c r="AA82" s="188"/>
    </row>
    <row r="83" spans="1:27">
      <c r="A83" s="188"/>
      <c r="B83" s="188"/>
      <c r="C83" s="188"/>
      <c r="D83" s="188"/>
      <c r="E83" s="188"/>
      <c r="F83" s="188"/>
      <c r="G83" s="188"/>
      <c r="H83" s="188"/>
      <c r="I83" s="188"/>
      <c r="J83" s="188"/>
      <c r="K83" s="188"/>
      <c r="L83" s="188"/>
      <c r="M83" s="188"/>
      <c r="N83" s="188"/>
      <c r="O83" s="188"/>
      <c r="P83" s="188"/>
      <c r="Q83" s="188"/>
      <c r="R83" s="188"/>
      <c r="S83" s="188"/>
      <c r="T83" s="188"/>
      <c r="U83" s="188"/>
      <c r="V83" s="188"/>
      <c r="W83" s="188"/>
      <c r="X83" s="188"/>
      <c r="Y83" s="188"/>
      <c r="Z83" s="188"/>
      <c r="AA83" s="188"/>
    </row>
  </sheetData>
  <mergeCells count="12">
    <mergeCell ref="B2:F2"/>
    <mergeCell ref="B3:F3"/>
    <mergeCell ref="B4:F4"/>
    <mergeCell ref="D16:F16"/>
    <mergeCell ref="D19:F19"/>
    <mergeCell ref="D22:F22"/>
    <mergeCell ref="D25:F25"/>
    <mergeCell ref="D28:F28"/>
    <mergeCell ref="B30:F30"/>
    <mergeCell ref="D7:F7"/>
    <mergeCell ref="D10:F10"/>
    <mergeCell ref="D13:F13"/>
  </mergeCells>
  <phoneticPr fontId="26" type="noConversion"/>
  <pageMargins left="0.53" right="0.44" top="0.62" bottom="0.48" header="0.5" footer="0.5"/>
  <pageSetup scale="8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locked="0" defaultSize="0" autoFill="0" autoLine="0" autoPict="0">
                <anchor moveWithCells="1">
                  <from>
                    <xdr:col>1</xdr:col>
                    <xdr:colOff>139700</xdr:colOff>
                    <xdr:row>4</xdr:row>
                    <xdr:rowOff>292100</xdr:rowOff>
                  </from>
                  <to>
                    <xdr:col>1</xdr:col>
                    <xdr:colOff>406400</xdr:colOff>
                    <xdr:row>6</xdr:row>
                    <xdr:rowOff>50800</xdr:rowOff>
                  </to>
                </anchor>
              </controlPr>
            </control>
          </mc:Choice>
        </mc:AlternateContent>
        <mc:AlternateContent xmlns:mc="http://schemas.openxmlformats.org/markup-compatibility/2006">
          <mc:Choice Requires="x14">
            <control shapeId="12290" r:id="rId5" name="Check Box 2">
              <controlPr locked="0" defaultSize="0" autoFill="0" autoLine="0" autoPict="0">
                <anchor moveWithCells="1">
                  <from>
                    <xdr:col>2</xdr:col>
                    <xdr:colOff>190500</xdr:colOff>
                    <xdr:row>4</xdr:row>
                    <xdr:rowOff>304800</xdr:rowOff>
                  </from>
                  <to>
                    <xdr:col>2</xdr:col>
                    <xdr:colOff>457200</xdr:colOff>
                    <xdr:row>6</xdr:row>
                    <xdr:rowOff>63500</xdr:rowOff>
                  </to>
                </anchor>
              </controlPr>
            </control>
          </mc:Choice>
        </mc:AlternateContent>
        <mc:AlternateContent xmlns:mc="http://schemas.openxmlformats.org/markup-compatibility/2006">
          <mc:Choice Requires="x14">
            <control shapeId="12291" r:id="rId6" name="Check Box 3">
              <controlPr locked="0" defaultSize="0" autoFill="0" autoLine="0" autoPict="0">
                <anchor moveWithCells="1">
                  <from>
                    <xdr:col>1</xdr:col>
                    <xdr:colOff>127000</xdr:colOff>
                    <xdr:row>7</xdr:row>
                    <xdr:rowOff>63500</xdr:rowOff>
                  </from>
                  <to>
                    <xdr:col>1</xdr:col>
                    <xdr:colOff>393700</xdr:colOff>
                    <xdr:row>9</xdr:row>
                    <xdr:rowOff>63500</xdr:rowOff>
                  </to>
                </anchor>
              </controlPr>
            </control>
          </mc:Choice>
        </mc:AlternateContent>
        <mc:AlternateContent xmlns:mc="http://schemas.openxmlformats.org/markup-compatibility/2006">
          <mc:Choice Requires="x14">
            <control shapeId="12292" r:id="rId7" name="Check Box 4">
              <controlPr locked="0" defaultSize="0" autoFill="0" autoLine="0" autoPict="0">
                <anchor moveWithCells="1">
                  <from>
                    <xdr:col>2</xdr:col>
                    <xdr:colOff>139700</xdr:colOff>
                    <xdr:row>7</xdr:row>
                    <xdr:rowOff>63500</xdr:rowOff>
                  </from>
                  <to>
                    <xdr:col>2</xdr:col>
                    <xdr:colOff>406400</xdr:colOff>
                    <xdr:row>9</xdr:row>
                    <xdr:rowOff>63500</xdr:rowOff>
                  </to>
                </anchor>
              </controlPr>
            </control>
          </mc:Choice>
        </mc:AlternateContent>
        <mc:AlternateContent xmlns:mc="http://schemas.openxmlformats.org/markup-compatibility/2006">
          <mc:Choice Requires="x14">
            <control shapeId="12293" r:id="rId8" name="Check Box 5">
              <controlPr locked="0" defaultSize="0" autoFill="0" autoLine="0" autoPict="0">
                <anchor moveWithCells="1">
                  <from>
                    <xdr:col>1</xdr:col>
                    <xdr:colOff>139700</xdr:colOff>
                    <xdr:row>10</xdr:row>
                    <xdr:rowOff>63500</xdr:rowOff>
                  </from>
                  <to>
                    <xdr:col>1</xdr:col>
                    <xdr:colOff>406400</xdr:colOff>
                    <xdr:row>12</xdr:row>
                    <xdr:rowOff>63500</xdr:rowOff>
                  </to>
                </anchor>
              </controlPr>
            </control>
          </mc:Choice>
        </mc:AlternateContent>
        <mc:AlternateContent xmlns:mc="http://schemas.openxmlformats.org/markup-compatibility/2006">
          <mc:Choice Requires="x14">
            <control shapeId="12294" r:id="rId9" name="Check Box 6">
              <controlPr locked="0" defaultSize="0" autoFill="0" autoLine="0" autoPict="0">
                <anchor moveWithCells="1">
                  <from>
                    <xdr:col>2</xdr:col>
                    <xdr:colOff>139700</xdr:colOff>
                    <xdr:row>11</xdr:row>
                    <xdr:rowOff>0</xdr:rowOff>
                  </from>
                  <to>
                    <xdr:col>2</xdr:col>
                    <xdr:colOff>406400</xdr:colOff>
                    <xdr:row>12</xdr:row>
                    <xdr:rowOff>88900</xdr:rowOff>
                  </to>
                </anchor>
              </controlPr>
            </control>
          </mc:Choice>
        </mc:AlternateContent>
        <mc:AlternateContent xmlns:mc="http://schemas.openxmlformats.org/markup-compatibility/2006">
          <mc:Choice Requires="x14">
            <control shapeId="12295" r:id="rId10" name="Check Box 7">
              <controlPr locked="0" defaultSize="0" autoFill="0" autoLine="0" autoPict="0">
                <anchor moveWithCells="1">
                  <from>
                    <xdr:col>1</xdr:col>
                    <xdr:colOff>152400</xdr:colOff>
                    <xdr:row>13</xdr:row>
                    <xdr:rowOff>63500</xdr:rowOff>
                  </from>
                  <to>
                    <xdr:col>1</xdr:col>
                    <xdr:colOff>419100</xdr:colOff>
                    <xdr:row>15</xdr:row>
                    <xdr:rowOff>63500</xdr:rowOff>
                  </to>
                </anchor>
              </controlPr>
            </control>
          </mc:Choice>
        </mc:AlternateContent>
        <mc:AlternateContent xmlns:mc="http://schemas.openxmlformats.org/markup-compatibility/2006">
          <mc:Choice Requires="x14">
            <control shapeId="12296" r:id="rId11" name="Check Box 8">
              <controlPr locked="0" defaultSize="0" autoFill="0" autoLine="0" autoPict="0">
                <anchor moveWithCells="1">
                  <from>
                    <xdr:col>2</xdr:col>
                    <xdr:colOff>139700</xdr:colOff>
                    <xdr:row>13</xdr:row>
                    <xdr:rowOff>63500</xdr:rowOff>
                  </from>
                  <to>
                    <xdr:col>2</xdr:col>
                    <xdr:colOff>406400</xdr:colOff>
                    <xdr:row>15</xdr:row>
                    <xdr:rowOff>63500</xdr:rowOff>
                  </to>
                </anchor>
              </controlPr>
            </control>
          </mc:Choice>
        </mc:AlternateContent>
        <mc:AlternateContent xmlns:mc="http://schemas.openxmlformats.org/markup-compatibility/2006">
          <mc:Choice Requires="x14">
            <control shapeId="12297" r:id="rId12" name="Check Box 9">
              <controlPr locked="0" defaultSize="0" autoFill="0" autoLine="0" autoPict="0">
                <anchor moveWithCells="1">
                  <from>
                    <xdr:col>1</xdr:col>
                    <xdr:colOff>152400</xdr:colOff>
                    <xdr:row>16</xdr:row>
                    <xdr:rowOff>63500</xdr:rowOff>
                  </from>
                  <to>
                    <xdr:col>1</xdr:col>
                    <xdr:colOff>419100</xdr:colOff>
                    <xdr:row>18</xdr:row>
                    <xdr:rowOff>76200</xdr:rowOff>
                  </to>
                </anchor>
              </controlPr>
            </control>
          </mc:Choice>
        </mc:AlternateContent>
        <mc:AlternateContent xmlns:mc="http://schemas.openxmlformats.org/markup-compatibility/2006">
          <mc:Choice Requires="x14">
            <control shapeId="12298" r:id="rId13" name="Check Box 10">
              <controlPr locked="0" defaultSize="0" autoFill="0" autoLine="0" autoPict="0">
                <anchor moveWithCells="1">
                  <from>
                    <xdr:col>2</xdr:col>
                    <xdr:colOff>165100</xdr:colOff>
                    <xdr:row>16</xdr:row>
                    <xdr:rowOff>63500</xdr:rowOff>
                  </from>
                  <to>
                    <xdr:col>2</xdr:col>
                    <xdr:colOff>431800</xdr:colOff>
                    <xdr:row>18</xdr:row>
                    <xdr:rowOff>76200</xdr:rowOff>
                  </to>
                </anchor>
              </controlPr>
            </control>
          </mc:Choice>
        </mc:AlternateContent>
        <mc:AlternateContent xmlns:mc="http://schemas.openxmlformats.org/markup-compatibility/2006">
          <mc:Choice Requires="x14">
            <control shapeId="12299" r:id="rId14" name="Check Box 11">
              <controlPr locked="0" defaultSize="0" autoFill="0" autoLine="0" autoPict="0">
                <anchor moveWithCells="1">
                  <from>
                    <xdr:col>1</xdr:col>
                    <xdr:colOff>139700</xdr:colOff>
                    <xdr:row>23</xdr:row>
                    <xdr:rowOff>12700</xdr:rowOff>
                  </from>
                  <to>
                    <xdr:col>1</xdr:col>
                    <xdr:colOff>406400</xdr:colOff>
                    <xdr:row>24</xdr:row>
                    <xdr:rowOff>63500</xdr:rowOff>
                  </to>
                </anchor>
              </controlPr>
            </control>
          </mc:Choice>
        </mc:AlternateContent>
        <mc:AlternateContent xmlns:mc="http://schemas.openxmlformats.org/markup-compatibility/2006">
          <mc:Choice Requires="x14">
            <control shapeId="12300" r:id="rId15" name="Check Box 12">
              <controlPr locked="0" defaultSize="0" autoFill="0" autoLine="0" autoPict="0">
                <anchor moveWithCells="1">
                  <from>
                    <xdr:col>2</xdr:col>
                    <xdr:colOff>165100</xdr:colOff>
                    <xdr:row>22</xdr:row>
                    <xdr:rowOff>50800</xdr:rowOff>
                  </from>
                  <to>
                    <xdr:col>2</xdr:col>
                    <xdr:colOff>431800</xdr:colOff>
                    <xdr:row>24</xdr:row>
                    <xdr:rowOff>63500</xdr:rowOff>
                  </to>
                </anchor>
              </controlPr>
            </control>
          </mc:Choice>
        </mc:AlternateContent>
        <mc:AlternateContent xmlns:mc="http://schemas.openxmlformats.org/markup-compatibility/2006">
          <mc:Choice Requires="x14">
            <control shapeId="12301" r:id="rId16" name="Check Box 13">
              <controlPr locked="0" defaultSize="0" autoFill="0" autoLine="0" autoPict="0">
                <anchor moveWithCells="1">
                  <from>
                    <xdr:col>1</xdr:col>
                    <xdr:colOff>139700</xdr:colOff>
                    <xdr:row>19</xdr:row>
                    <xdr:rowOff>63500</xdr:rowOff>
                  </from>
                  <to>
                    <xdr:col>1</xdr:col>
                    <xdr:colOff>406400</xdr:colOff>
                    <xdr:row>21</xdr:row>
                    <xdr:rowOff>63500</xdr:rowOff>
                  </to>
                </anchor>
              </controlPr>
            </control>
          </mc:Choice>
        </mc:AlternateContent>
        <mc:AlternateContent xmlns:mc="http://schemas.openxmlformats.org/markup-compatibility/2006">
          <mc:Choice Requires="x14">
            <control shapeId="12302" r:id="rId17" name="Check Box 14">
              <controlPr locked="0" defaultSize="0" autoFill="0" autoLine="0" autoPict="0">
                <anchor moveWithCells="1">
                  <from>
                    <xdr:col>2</xdr:col>
                    <xdr:colOff>152400</xdr:colOff>
                    <xdr:row>19</xdr:row>
                    <xdr:rowOff>63500</xdr:rowOff>
                  </from>
                  <to>
                    <xdr:col>2</xdr:col>
                    <xdr:colOff>419100</xdr:colOff>
                    <xdr:row>21</xdr:row>
                    <xdr:rowOff>63500</xdr:rowOff>
                  </to>
                </anchor>
              </controlPr>
            </control>
          </mc:Choice>
        </mc:AlternateContent>
        <mc:AlternateContent xmlns:mc="http://schemas.openxmlformats.org/markup-compatibility/2006">
          <mc:Choice Requires="x14">
            <control shapeId="12303" r:id="rId18" name="Check Box 15">
              <controlPr locked="0" defaultSize="0" autoFill="0" autoLine="0" autoPict="0">
                <anchor moveWithCells="1">
                  <from>
                    <xdr:col>1</xdr:col>
                    <xdr:colOff>139700</xdr:colOff>
                    <xdr:row>25</xdr:row>
                    <xdr:rowOff>63500</xdr:rowOff>
                  </from>
                  <to>
                    <xdr:col>1</xdr:col>
                    <xdr:colOff>406400</xdr:colOff>
                    <xdr:row>27</xdr:row>
                    <xdr:rowOff>63500</xdr:rowOff>
                  </to>
                </anchor>
              </controlPr>
            </control>
          </mc:Choice>
        </mc:AlternateContent>
        <mc:AlternateContent xmlns:mc="http://schemas.openxmlformats.org/markup-compatibility/2006">
          <mc:Choice Requires="x14">
            <control shapeId="12304" r:id="rId19" name="Check Box 16">
              <controlPr locked="0" defaultSize="0" autoFill="0" autoLine="0" autoPict="0">
                <anchor moveWithCells="1">
                  <from>
                    <xdr:col>2</xdr:col>
                    <xdr:colOff>165100</xdr:colOff>
                    <xdr:row>25</xdr:row>
                    <xdr:rowOff>63500</xdr:rowOff>
                  </from>
                  <to>
                    <xdr:col>2</xdr:col>
                    <xdr:colOff>431800</xdr:colOff>
                    <xdr:row>27</xdr:row>
                    <xdr:rowOff>63500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72726-4706-4D0E-8F30-98993A307C3D}">
  <sheetPr codeName="Sheet6">
    <tabColor theme="0"/>
    <pageSetUpPr fitToPage="1"/>
  </sheetPr>
  <dimension ref="A1:N260"/>
  <sheetViews>
    <sheetView workbookViewId="0"/>
  </sheetViews>
  <sheetFormatPr baseColWidth="10" defaultColWidth="8.83203125" defaultRowHeight="14"/>
  <cols>
    <col min="1" max="1" width="3.83203125" customWidth="1"/>
    <col min="2" max="2" width="2.6640625" customWidth="1"/>
    <col min="3" max="3" width="3.83203125" customWidth="1"/>
    <col min="4" max="4" width="86.33203125" customWidth="1"/>
    <col min="5" max="5" width="2.6640625" customWidth="1"/>
  </cols>
  <sheetData>
    <row r="1" spans="1:14">
      <c r="A1" s="480"/>
      <c r="B1" s="199"/>
      <c r="C1" s="200"/>
      <c r="D1" s="200"/>
      <c r="E1" s="209"/>
      <c r="F1" s="480"/>
      <c r="G1" s="480"/>
      <c r="H1" s="480"/>
      <c r="I1" s="480"/>
      <c r="J1" s="480"/>
      <c r="K1" s="480"/>
      <c r="L1" s="480"/>
      <c r="M1" s="480"/>
      <c r="N1" s="480"/>
    </row>
    <row r="2" spans="1:14" ht="17">
      <c r="A2" s="480"/>
      <c r="B2" s="201"/>
      <c r="C2" s="202"/>
      <c r="D2" s="501" t="s">
        <v>407</v>
      </c>
      <c r="E2" s="210"/>
      <c r="F2" s="480"/>
      <c r="G2" s="480"/>
      <c r="H2" s="480"/>
      <c r="I2" s="480"/>
      <c r="J2" s="480"/>
      <c r="K2" s="480"/>
      <c r="L2" s="480"/>
      <c r="M2" s="480"/>
      <c r="N2" s="480"/>
    </row>
    <row r="3" spans="1:14" ht="17">
      <c r="A3" s="480"/>
      <c r="B3" s="201"/>
      <c r="C3" s="202"/>
      <c r="D3" s="501" t="s">
        <v>672</v>
      </c>
      <c r="E3" s="210"/>
      <c r="F3" s="480"/>
      <c r="G3" s="480"/>
      <c r="H3" s="480"/>
      <c r="I3" s="480"/>
      <c r="J3" s="480"/>
      <c r="K3" s="480"/>
      <c r="L3" s="480"/>
      <c r="M3" s="480"/>
      <c r="N3" s="480"/>
    </row>
    <row r="4" spans="1:14">
      <c r="A4" s="480"/>
      <c r="B4" s="201"/>
      <c r="C4" s="202"/>
      <c r="D4" s="502" t="s">
        <v>418</v>
      </c>
      <c r="E4" s="489"/>
      <c r="F4" s="480"/>
      <c r="G4" s="480"/>
      <c r="H4" s="480"/>
      <c r="I4" s="480"/>
      <c r="J4" s="480"/>
      <c r="K4" s="480"/>
      <c r="L4" s="480"/>
      <c r="M4" s="480"/>
      <c r="N4" s="480"/>
    </row>
    <row r="5" spans="1:14">
      <c r="A5" s="480"/>
      <c r="B5" s="201"/>
      <c r="C5" s="202"/>
      <c r="D5" s="502"/>
      <c r="E5" s="488"/>
      <c r="F5" s="480"/>
      <c r="G5" s="480"/>
      <c r="H5" s="480"/>
      <c r="I5" s="480"/>
      <c r="J5" s="480"/>
      <c r="K5" s="480"/>
      <c r="L5" s="480"/>
      <c r="M5" s="480"/>
      <c r="N5" s="480"/>
    </row>
    <row r="6" spans="1:14">
      <c r="A6" s="480"/>
      <c r="B6" s="201"/>
      <c r="C6" s="202"/>
      <c r="D6" s="503" t="s">
        <v>408</v>
      </c>
      <c r="E6" s="210"/>
      <c r="F6" s="480"/>
      <c r="G6" s="480"/>
      <c r="H6" s="480"/>
      <c r="I6" s="480"/>
      <c r="J6" s="480"/>
      <c r="K6" s="480"/>
      <c r="L6" s="480"/>
      <c r="M6" s="480"/>
      <c r="N6" s="480"/>
    </row>
    <row r="7" spans="1:14" ht="27">
      <c r="A7" s="480"/>
      <c r="B7" s="201"/>
      <c r="C7" s="202"/>
      <c r="D7" s="503" t="s">
        <v>411</v>
      </c>
      <c r="E7" s="210"/>
      <c r="F7" s="480"/>
      <c r="G7" s="480"/>
      <c r="H7" s="480"/>
      <c r="I7" s="480"/>
      <c r="J7" s="480"/>
      <c r="K7" s="480"/>
      <c r="L7" s="480"/>
      <c r="M7" s="480"/>
      <c r="N7" s="480"/>
    </row>
    <row r="8" spans="1:14" ht="6.75" customHeight="1">
      <c r="A8" s="480"/>
      <c r="B8" s="201"/>
      <c r="C8" s="202"/>
      <c r="D8" s="504"/>
      <c r="E8" s="210"/>
      <c r="F8" s="480"/>
      <c r="G8" s="480"/>
      <c r="H8" s="480"/>
      <c r="I8" s="480"/>
      <c r="J8" s="480"/>
      <c r="K8" s="480"/>
      <c r="L8" s="480"/>
      <c r="M8" s="480"/>
      <c r="N8" s="480"/>
    </row>
    <row r="9" spans="1:14" ht="16">
      <c r="A9" s="480"/>
      <c r="B9" s="201"/>
      <c r="C9" s="202"/>
      <c r="D9" s="504" t="s">
        <v>715</v>
      </c>
      <c r="E9" s="210"/>
      <c r="F9" s="480"/>
      <c r="G9" s="480"/>
      <c r="H9" s="480"/>
      <c r="I9" s="480"/>
      <c r="J9" s="480"/>
      <c r="K9" s="480"/>
      <c r="L9" s="480"/>
      <c r="M9" s="480"/>
      <c r="N9" s="480"/>
    </row>
    <row r="10" spans="1:14" ht="15">
      <c r="A10" s="480"/>
      <c r="B10" s="201"/>
      <c r="C10" s="202"/>
      <c r="D10" s="504"/>
      <c r="E10" s="210"/>
      <c r="F10" s="480"/>
      <c r="G10" s="480"/>
      <c r="H10" s="480"/>
      <c r="I10" s="480"/>
      <c r="J10" s="480"/>
      <c r="K10" s="480"/>
      <c r="L10" s="480"/>
      <c r="M10" s="480"/>
      <c r="N10" s="480"/>
    </row>
    <row r="11" spans="1:14" ht="5.25" customHeight="1">
      <c r="A11" s="480"/>
      <c r="B11" s="201"/>
      <c r="C11" s="202"/>
      <c r="D11" s="504"/>
      <c r="E11" s="210"/>
      <c r="F11" s="480"/>
      <c r="G11" s="480"/>
      <c r="H11" s="480"/>
      <c r="I11" s="480"/>
      <c r="J11" s="480"/>
      <c r="K11" s="480"/>
      <c r="L11" s="480"/>
      <c r="M11" s="480"/>
      <c r="N11" s="480"/>
    </row>
    <row r="12" spans="1:14" ht="16">
      <c r="A12" s="480"/>
      <c r="B12" s="201"/>
      <c r="C12" s="202"/>
      <c r="D12" s="504" t="s">
        <v>410</v>
      </c>
      <c r="E12" s="210"/>
      <c r="F12" s="480"/>
      <c r="G12" s="480"/>
      <c r="H12" s="480"/>
      <c r="I12" s="480"/>
      <c r="J12" s="480"/>
      <c r="K12" s="480"/>
      <c r="L12" s="480"/>
      <c r="M12" s="480"/>
      <c r="N12" s="480"/>
    </row>
    <row r="13" spans="1:14" ht="16.5" customHeight="1">
      <c r="A13" s="480"/>
      <c r="B13" s="201"/>
      <c r="C13" s="202"/>
      <c r="D13" s="504"/>
      <c r="E13" s="210"/>
      <c r="F13" s="480"/>
      <c r="G13" s="480"/>
      <c r="H13" s="480"/>
      <c r="I13" s="480"/>
      <c r="J13" s="480"/>
      <c r="K13" s="480"/>
      <c r="L13" s="480"/>
      <c r="M13" s="480"/>
      <c r="N13" s="480"/>
    </row>
    <row r="14" spans="1:14" ht="16.5" customHeight="1">
      <c r="A14" s="480"/>
      <c r="B14" s="201"/>
      <c r="C14" s="202"/>
      <c r="D14" s="504" t="s">
        <v>671</v>
      </c>
      <c r="E14" s="210"/>
      <c r="F14" s="480"/>
      <c r="G14" s="480"/>
      <c r="H14" s="480"/>
      <c r="I14" s="480"/>
      <c r="J14" s="480"/>
      <c r="K14" s="480"/>
      <c r="L14" s="480"/>
      <c r="M14" s="480"/>
      <c r="N14" s="480"/>
    </row>
    <row r="15" spans="1:14" ht="12.75" customHeight="1">
      <c r="A15" s="480"/>
      <c r="B15" s="201"/>
      <c r="C15" s="202"/>
      <c r="D15" s="500"/>
      <c r="E15" s="490"/>
      <c r="F15" s="481"/>
      <c r="G15" s="480"/>
      <c r="H15" s="480"/>
      <c r="I15" s="480"/>
      <c r="J15" s="480"/>
      <c r="K15" s="480"/>
      <c r="L15" s="480"/>
      <c r="M15" s="480"/>
      <c r="N15" s="480"/>
    </row>
    <row r="16" spans="1:14" ht="12.75" customHeight="1">
      <c r="A16" s="480"/>
      <c r="B16" s="201"/>
      <c r="C16" s="509" t="s">
        <v>566</v>
      </c>
      <c r="D16" s="500"/>
      <c r="E16" s="490"/>
      <c r="F16" s="481"/>
      <c r="G16" s="480"/>
      <c r="H16" s="480"/>
      <c r="I16" s="480"/>
      <c r="J16" s="480"/>
      <c r="K16" s="480"/>
      <c r="L16" s="480"/>
      <c r="M16" s="480"/>
      <c r="N16" s="480"/>
    </row>
    <row r="17" spans="1:14" ht="12.75" customHeight="1">
      <c r="A17" s="480"/>
      <c r="B17" s="201"/>
      <c r="C17" s="505" t="s">
        <v>194</v>
      </c>
      <c r="D17" s="506"/>
      <c r="E17" s="490"/>
      <c r="F17" s="481"/>
      <c r="G17" s="480"/>
      <c r="H17" s="480"/>
      <c r="I17" s="480"/>
      <c r="J17" s="480"/>
      <c r="K17" s="480"/>
      <c r="L17" s="480"/>
      <c r="M17" s="480"/>
      <c r="N17" s="480"/>
    </row>
    <row r="18" spans="1:14" ht="12.75" customHeight="1">
      <c r="A18" s="480"/>
      <c r="B18" s="201"/>
      <c r="C18" s="505" t="s">
        <v>195</v>
      </c>
      <c r="D18" s="250"/>
      <c r="E18" s="490"/>
      <c r="F18" s="481"/>
      <c r="G18" s="480"/>
      <c r="H18" s="480"/>
      <c r="I18" s="480"/>
      <c r="J18" s="480"/>
      <c r="K18" s="480"/>
      <c r="L18" s="480"/>
      <c r="M18" s="480"/>
      <c r="N18" s="480"/>
    </row>
    <row r="19" spans="1:14" ht="12.75" customHeight="1">
      <c r="A19" s="480"/>
      <c r="B19" s="201"/>
      <c r="C19" s="2559" t="s">
        <v>199</v>
      </c>
      <c r="D19" s="2559"/>
      <c r="E19" s="490"/>
      <c r="F19" s="481"/>
      <c r="G19" s="480"/>
      <c r="H19" s="480"/>
      <c r="I19" s="480"/>
      <c r="J19" s="480"/>
      <c r="K19" s="480"/>
      <c r="L19" s="480"/>
      <c r="M19" s="480"/>
      <c r="N19" s="480"/>
    </row>
    <row r="20" spans="1:14" ht="12.75" customHeight="1">
      <c r="A20" s="480"/>
      <c r="B20" s="201"/>
      <c r="C20" s="2559" t="s">
        <v>22</v>
      </c>
      <c r="D20" s="2559"/>
      <c r="E20" s="490"/>
      <c r="F20" s="481"/>
      <c r="G20" s="480"/>
      <c r="H20" s="480"/>
      <c r="I20" s="480"/>
      <c r="J20" s="480"/>
      <c r="K20" s="480"/>
      <c r="L20" s="480"/>
      <c r="M20" s="480"/>
      <c r="N20" s="480"/>
    </row>
    <row r="21" spans="1:14" ht="12.75" customHeight="1">
      <c r="A21" s="480"/>
      <c r="B21" s="201"/>
      <c r="C21" s="2560" t="s">
        <v>205</v>
      </c>
      <c r="D21" s="2560"/>
      <c r="E21" s="490"/>
      <c r="F21" s="481"/>
      <c r="G21" s="480"/>
      <c r="H21" s="480"/>
      <c r="I21" s="480"/>
      <c r="J21" s="480"/>
      <c r="K21" s="480"/>
      <c r="L21" s="480"/>
      <c r="M21" s="480"/>
      <c r="N21" s="480"/>
    </row>
    <row r="22" spans="1:14" ht="12.75" customHeight="1">
      <c r="A22" s="480"/>
      <c r="B22" s="201"/>
      <c r="C22" s="2560" t="s">
        <v>425</v>
      </c>
      <c r="D22" s="2560"/>
      <c r="E22" s="490"/>
      <c r="F22" s="481"/>
      <c r="G22" s="480"/>
      <c r="H22" s="480"/>
      <c r="I22" s="480"/>
      <c r="J22" s="480"/>
      <c r="K22" s="480"/>
      <c r="L22" s="480"/>
      <c r="M22" s="480"/>
      <c r="N22" s="480"/>
    </row>
    <row r="23" spans="1:14" ht="12.75" customHeight="1">
      <c r="A23" s="480"/>
      <c r="B23" s="201"/>
      <c r="C23" s="505"/>
      <c r="D23" s="505" t="s">
        <v>427</v>
      </c>
      <c r="E23" s="490"/>
      <c r="F23" s="481"/>
      <c r="G23" s="480"/>
      <c r="H23" s="480"/>
      <c r="I23" s="480"/>
      <c r="J23" s="480"/>
      <c r="K23" s="480"/>
      <c r="L23" s="480"/>
      <c r="M23" s="480"/>
      <c r="N23" s="480"/>
    </row>
    <row r="24" spans="1:14" ht="12.75" customHeight="1">
      <c r="A24" s="480"/>
      <c r="B24" s="201"/>
      <c r="C24" s="505"/>
      <c r="D24" s="507" t="s">
        <v>433</v>
      </c>
      <c r="E24" s="490"/>
      <c r="F24" s="481"/>
      <c r="G24" s="480"/>
      <c r="H24" s="480"/>
      <c r="I24" s="480"/>
      <c r="J24" s="480"/>
      <c r="K24" s="480"/>
      <c r="L24" s="480"/>
      <c r="M24" s="480"/>
      <c r="N24" s="480"/>
    </row>
    <row r="25" spans="1:14" ht="12.75" customHeight="1">
      <c r="A25" s="480"/>
      <c r="B25" s="201"/>
      <c r="C25" s="505"/>
      <c r="D25" s="508" t="s">
        <v>544</v>
      </c>
      <c r="E25" s="490"/>
      <c r="F25" s="481"/>
      <c r="G25" s="480"/>
      <c r="H25" s="480"/>
      <c r="I25" s="480"/>
      <c r="J25" s="480"/>
      <c r="K25" s="480"/>
      <c r="L25" s="480"/>
      <c r="M25" s="480"/>
      <c r="N25" s="480"/>
    </row>
    <row r="26" spans="1:14" ht="12.75" customHeight="1">
      <c r="A26" s="480"/>
      <c r="B26" s="201"/>
      <c r="C26" s="505"/>
      <c r="D26" s="508" t="s">
        <v>547</v>
      </c>
      <c r="E26" s="490"/>
      <c r="F26" s="481"/>
      <c r="G26" s="480"/>
      <c r="H26" s="480"/>
      <c r="I26" s="480"/>
      <c r="J26" s="480"/>
      <c r="K26" s="480"/>
      <c r="L26" s="480"/>
      <c r="M26" s="480"/>
      <c r="N26" s="480"/>
    </row>
    <row r="27" spans="1:14" ht="12.75" customHeight="1">
      <c r="A27" s="480"/>
      <c r="B27" s="201"/>
      <c r="C27" s="505"/>
      <c r="D27" s="508" t="s">
        <v>555</v>
      </c>
      <c r="E27" s="490"/>
      <c r="F27" s="481"/>
      <c r="G27" s="480"/>
      <c r="H27" s="480"/>
      <c r="I27" s="480"/>
      <c r="J27" s="480"/>
      <c r="K27" s="480"/>
      <c r="L27" s="480"/>
      <c r="M27" s="480"/>
      <c r="N27" s="480"/>
    </row>
    <row r="28" spans="1:14" ht="12.75" customHeight="1">
      <c r="A28" s="480"/>
      <c r="B28" s="201"/>
      <c r="C28" s="505"/>
      <c r="D28" s="508" t="s">
        <v>558</v>
      </c>
      <c r="E28" s="490"/>
      <c r="F28" s="481"/>
      <c r="G28" s="480"/>
      <c r="H28" s="480"/>
      <c r="I28" s="480"/>
      <c r="J28" s="480"/>
      <c r="K28" s="480"/>
      <c r="L28" s="480"/>
      <c r="M28" s="480"/>
      <c r="N28" s="480"/>
    </row>
    <row r="29" spans="1:14" ht="12.75" customHeight="1">
      <c r="A29" s="480"/>
      <c r="B29" s="201"/>
      <c r="C29" s="505"/>
      <c r="D29" s="505" t="s">
        <v>542</v>
      </c>
      <c r="E29" s="490"/>
      <c r="F29" s="481"/>
      <c r="G29" s="480"/>
      <c r="H29" s="480"/>
      <c r="I29" s="480"/>
      <c r="J29" s="480"/>
      <c r="K29" s="480"/>
      <c r="L29" s="480"/>
      <c r="M29" s="480"/>
      <c r="N29" s="480"/>
    </row>
    <row r="30" spans="1:14" ht="12.75" customHeight="1">
      <c r="A30" s="480"/>
      <c r="B30" s="201"/>
      <c r="C30" s="2560" t="s">
        <v>551</v>
      </c>
      <c r="D30" s="2560"/>
      <c r="E30" s="490"/>
      <c r="F30" s="481"/>
      <c r="G30" s="480"/>
      <c r="H30" s="480"/>
      <c r="I30" s="480"/>
      <c r="J30" s="480"/>
      <c r="K30" s="480"/>
      <c r="L30" s="480"/>
      <c r="M30" s="480"/>
      <c r="N30" s="480"/>
    </row>
    <row r="31" spans="1:14" ht="12.75" customHeight="1">
      <c r="A31" s="480"/>
      <c r="B31" s="201"/>
      <c r="C31" s="2560" t="s">
        <v>221</v>
      </c>
      <c r="D31" s="2560"/>
      <c r="E31" s="490"/>
      <c r="F31" s="481"/>
      <c r="G31" s="480"/>
      <c r="H31" s="480"/>
      <c r="I31" s="480"/>
      <c r="J31" s="480"/>
      <c r="K31" s="480"/>
      <c r="L31" s="480"/>
      <c r="M31" s="480"/>
      <c r="N31" s="480"/>
    </row>
    <row r="32" spans="1:14" ht="12.75" customHeight="1">
      <c r="A32" s="480"/>
      <c r="B32" s="201"/>
      <c r="C32" s="2560" t="s">
        <v>563</v>
      </c>
      <c r="D32" s="2560"/>
      <c r="E32" s="490"/>
      <c r="F32" s="481"/>
      <c r="G32" s="480"/>
      <c r="H32" s="480"/>
      <c r="I32" s="480"/>
      <c r="J32" s="480"/>
      <c r="K32" s="480"/>
      <c r="L32" s="480"/>
      <c r="M32" s="480"/>
      <c r="N32" s="480"/>
    </row>
    <row r="33" spans="1:14" ht="12.75" customHeight="1">
      <c r="A33" s="480"/>
      <c r="B33" s="201"/>
      <c r="C33" s="505"/>
      <c r="D33" s="500" t="s">
        <v>223</v>
      </c>
      <c r="E33" s="490"/>
      <c r="F33" s="481"/>
      <c r="G33" s="480"/>
      <c r="H33" s="480"/>
      <c r="I33" s="480"/>
      <c r="J33" s="480"/>
      <c r="K33" s="480"/>
      <c r="L33" s="480"/>
      <c r="M33" s="480"/>
      <c r="N33" s="480"/>
    </row>
    <row r="34" spans="1:14" ht="12.75" customHeight="1">
      <c r="A34" s="480"/>
      <c r="B34" s="201"/>
      <c r="C34" s="202"/>
      <c r="D34" s="500"/>
      <c r="E34" s="490"/>
      <c r="F34" s="481"/>
      <c r="G34" s="480"/>
      <c r="H34" s="480"/>
      <c r="I34" s="480"/>
      <c r="J34" s="480"/>
      <c r="K34" s="480"/>
      <c r="L34" s="480"/>
      <c r="M34" s="480"/>
      <c r="N34" s="480"/>
    </row>
    <row r="35" spans="1:14" ht="17.25" customHeight="1">
      <c r="A35" s="480"/>
      <c r="B35" s="201"/>
      <c r="C35" s="509" t="s">
        <v>194</v>
      </c>
      <c r="D35" s="510"/>
      <c r="E35" s="512" t="s">
        <v>565</v>
      </c>
      <c r="F35" s="481"/>
      <c r="G35" s="480"/>
      <c r="H35" s="480"/>
      <c r="I35" s="480"/>
      <c r="J35" s="480"/>
      <c r="K35" s="480"/>
      <c r="L35" s="480"/>
      <c r="M35" s="480"/>
      <c r="N35" s="480"/>
    </row>
    <row r="36" spans="1:14" ht="132.75" customHeight="1">
      <c r="A36" s="480"/>
      <c r="B36" s="201"/>
      <c r="C36" s="2558" t="s">
        <v>409</v>
      </c>
      <c r="D36" s="2558"/>
      <c r="E36" s="490"/>
      <c r="F36" s="481"/>
      <c r="G36" s="480"/>
      <c r="H36" s="480"/>
      <c r="I36" s="480"/>
      <c r="J36" s="480"/>
      <c r="K36" s="480"/>
      <c r="L36" s="480"/>
      <c r="M36" s="480"/>
      <c r="N36" s="480"/>
    </row>
    <row r="37" spans="1:14" ht="12" customHeight="1">
      <c r="A37" s="480"/>
      <c r="B37" s="201"/>
      <c r="C37" s="202"/>
      <c r="D37" s="249"/>
      <c r="E37" s="210"/>
      <c r="F37" s="481"/>
      <c r="G37" s="480"/>
      <c r="H37" s="480"/>
      <c r="I37" s="480"/>
      <c r="J37" s="480"/>
      <c r="K37" s="480"/>
      <c r="L37" s="480"/>
      <c r="M37" s="480"/>
      <c r="N37" s="480"/>
    </row>
    <row r="38" spans="1:14" ht="79.5" customHeight="1">
      <c r="A38" s="480"/>
      <c r="B38" s="201"/>
      <c r="C38" s="2558" t="s">
        <v>413</v>
      </c>
      <c r="D38" s="2558"/>
      <c r="E38" s="210"/>
      <c r="F38" s="481"/>
      <c r="G38" s="480"/>
      <c r="H38" s="480"/>
      <c r="I38" s="480"/>
      <c r="J38" s="480"/>
      <c r="K38" s="480"/>
      <c r="L38" s="480"/>
      <c r="M38" s="480"/>
      <c r="N38" s="480"/>
    </row>
    <row r="39" spans="1:14" ht="12" customHeight="1">
      <c r="A39" s="480"/>
      <c r="B39" s="201"/>
      <c r="C39" s="202"/>
      <c r="D39" s="249"/>
      <c r="E39" s="210"/>
      <c r="F39" s="481"/>
      <c r="G39" s="480"/>
      <c r="H39" s="480"/>
      <c r="I39" s="480"/>
      <c r="J39" s="480"/>
      <c r="K39" s="480"/>
      <c r="L39" s="480"/>
      <c r="M39" s="480"/>
      <c r="N39" s="480"/>
    </row>
    <row r="40" spans="1:14" ht="16.5" customHeight="1">
      <c r="A40" s="480"/>
      <c r="B40" s="201"/>
      <c r="C40" s="2558" t="s">
        <v>415</v>
      </c>
      <c r="D40" s="2558"/>
      <c r="E40" s="210"/>
      <c r="F40" s="481"/>
      <c r="G40" s="480"/>
      <c r="H40" s="480"/>
      <c r="I40" s="480"/>
      <c r="J40" s="480"/>
      <c r="K40" s="480"/>
      <c r="L40" s="480"/>
      <c r="M40" s="480"/>
      <c r="N40" s="480"/>
    </row>
    <row r="41" spans="1:14" ht="30" customHeight="1">
      <c r="A41" s="480"/>
      <c r="B41" s="201"/>
      <c r="C41" s="2558" t="s">
        <v>414</v>
      </c>
      <c r="D41" s="2558"/>
      <c r="E41" s="210"/>
      <c r="F41" s="481"/>
      <c r="G41" s="480"/>
      <c r="H41" s="480"/>
      <c r="I41" s="480"/>
      <c r="J41" s="480"/>
      <c r="K41" s="480"/>
      <c r="L41" s="480"/>
      <c r="M41" s="480"/>
      <c r="N41" s="480"/>
    </row>
    <row r="42" spans="1:14" ht="41.25" customHeight="1">
      <c r="A42" s="480"/>
      <c r="B42" s="201"/>
      <c r="C42" s="2558" t="s">
        <v>564</v>
      </c>
      <c r="D42" s="2558"/>
      <c r="E42" s="210"/>
      <c r="F42" s="481"/>
      <c r="G42" s="480"/>
      <c r="H42" s="480"/>
      <c r="I42" s="480"/>
      <c r="J42" s="480"/>
      <c r="K42" s="480"/>
      <c r="L42" s="480"/>
      <c r="M42" s="480"/>
      <c r="N42" s="480"/>
    </row>
    <row r="43" spans="1:14" ht="14.25" customHeight="1">
      <c r="A43" s="480"/>
      <c r="B43" s="201"/>
      <c r="C43" s="2558" t="s">
        <v>416</v>
      </c>
      <c r="D43" s="2558"/>
      <c r="E43" s="210"/>
      <c r="F43" s="481"/>
      <c r="G43" s="480"/>
      <c r="H43" s="480"/>
      <c r="I43" s="480"/>
      <c r="J43" s="480"/>
      <c r="K43" s="480"/>
      <c r="L43" s="480"/>
      <c r="M43" s="480"/>
      <c r="N43" s="480"/>
    </row>
    <row r="44" spans="1:14" ht="28.5" customHeight="1">
      <c r="A44" s="480"/>
      <c r="B44" s="201"/>
      <c r="C44" s="202"/>
      <c r="D44" s="487" t="s">
        <v>527</v>
      </c>
      <c r="E44" s="210"/>
      <c r="F44" s="481"/>
      <c r="G44" s="480"/>
      <c r="H44" s="480"/>
      <c r="I44" s="480"/>
      <c r="J44" s="480"/>
      <c r="K44" s="480"/>
      <c r="L44" s="480"/>
      <c r="M44" s="480"/>
      <c r="N44" s="480"/>
    </row>
    <row r="45" spans="1:14" ht="44" customHeight="1">
      <c r="A45" s="480"/>
      <c r="B45" s="201"/>
      <c r="C45" s="202"/>
      <c r="D45" s="487" t="s">
        <v>417</v>
      </c>
      <c r="E45" s="210"/>
      <c r="F45" s="481"/>
      <c r="G45" s="480"/>
      <c r="H45" s="480"/>
      <c r="I45" s="480"/>
      <c r="J45" s="480"/>
      <c r="K45" s="480"/>
      <c r="L45" s="480"/>
      <c r="M45" s="480"/>
      <c r="N45" s="480"/>
    </row>
    <row r="46" spans="1:14" ht="108" customHeight="1">
      <c r="A46" s="480"/>
      <c r="B46" s="201"/>
      <c r="C46" s="202"/>
      <c r="D46" s="487" t="s">
        <v>528</v>
      </c>
      <c r="E46" s="210"/>
      <c r="F46" s="481"/>
      <c r="G46" s="480"/>
      <c r="H46" s="480"/>
      <c r="I46" s="480"/>
      <c r="J46" s="480"/>
      <c r="K46" s="480"/>
      <c r="L46" s="480"/>
      <c r="M46" s="480"/>
      <c r="N46" s="480"/>
    </row>
    <row r="47" spans="1:14" ht="69" customHeight="1">
      <c r="A47" s="480"/>
      <c r="B47" s="201"/>
      <c r="C47" s="202"/>
      <c r="D47" s="487" t="s">
        <v>419</v>
      </c>
      <c r="E47" s="210"/>
      <c r="F47" s="481"/>
      <c r="G47" s="480"/>
      <c r="H47" s="480"/>
      <c r="I47" s="480"/>
      <c r="J47" s="480"/>
      <c r="K47" s="480"/>
      <c r="L47" s="480"/>
      <c r="M47" s="480"/>
      <c r="N47" s="480"/>
    </row>
    <row r="48" spans="1:14" ht="55.5" customHeight="1">
      <c r="A48" s="480"/>
      <c r="B48" s="201"/>
      <c r="C48" s="202"/>
      <c r="D48" s="487" t="s">
        <v>420</v>
      </c>
      <c r="E48" s="210"/>
      <c r="F48" s="481"/>
      <c r="G48" s="480"/>
      <c r="H48" s="480"/>
      <c r="I48" s="480"/>
      <c r="J48" s="480"/>
      <c r="K48" s="480"/>
      <c r="L48" s="480"/>
      <c r="M48" s="480"/>
      <c r="N48" s="480"/>
    </row>
    <row r="49" spans="1:14" ht="30.75" customHeight="1">
      <c r="A49" s="480"/>
      <c r="B49" s="201"/>
      <c r="C49" s="202"/>
      <c r="D49" s="487" t="s">
        <v>529</v>
      </c>
      <c r="E49" s="210"/>
      <c r="F49" s="481"/>
      <c r="G49" s="480"/>
      <c r="H49" s="480"/>
      <c r="I49" s="480"/>
      <c r="J49" s="480"/>
      <c r="K49" s="480"/>
      <c r="L49" s="480"/>
      <c r="M49" s="480"/>
      <c r="N49" s="480"/>
    </row>
    <row r="50" spans="1:14" ht="30" customHeight="1">
      <c r="A50" s="480"/>
      <c r="B50" s="201"/>
      <c r="C50" s="2558" t="s">
        <v>530</v>
      </c>
      <c r="D50" s="2558"/>
      <c r="E50" s="210"/>
      <c r="F50" s="481"/>
      <c r="G50" s="480"/>
      <c r="H50" s="480"/>
      <c r="I50" s="480"/>
      <c r="J50" s="480"/>
      <c r="K50" s="480"/>
      <c r="L50" s="480"/>
      <c r="M50" s="480"/>
      <c r="N50" s="480"/>
    </row>
    <row r="51" spans="1:14" ht="16.5" customHeight="1">
      <c r="A51" s="480"/>
      <c r="B51" s="201"/>
      <c r="C51" s="2561" t="s">
        <v>531</v>
      </c>
      <c r="D51" s="2561"/>
      <c r="E51" s="210"/>
      <c r="F51" s="481"/>
      <c r="G51" s="480"/>
      <c r="H51" s="480"/>
      <c r="I51" s="480"/>
      <c r="J51" s="480"/>
      <c r="K51" s="480"/>
      <c r="L51" s="480"/>
      <c r="M51" s="480"/>
      <c r="N51" s="480"/>
    </row>
    <row r="52" spans="1:14" ht="12" customHeight="1">
      <c r="A52" s="480"/>
      <c r="B52" s="201"/>
      <c r="C52" s="492"/>
      <c r="D52" s="492"/>
      <c r="E52" s="210"/>
      <c r="F52" s="481"/>
      <c r="G52" s="480"/>
      <c r="H52" s="480"/>
      <c r="I52" s="480"/>
      <c r="J52" s="480"/>
      <c r="K52" s="480"/>
      <c r="L52" s="480"/>
      <c r="M52" s="480"/>
      <c r="N52" s="480"/>
    </row>
    <row r="53" spans="1:14" ht="42.75" customHeight="1">
      <c r="A53" s="480"/>
      <c r="B53" s="201"/>
      <c r="C53" s="2558" t="s">
        <v>14</v>
      </c>
      <c r="D53" s="2558"/>
      <c r="E53" s="210"/>
      <c r="F53" s="481"/>
      <c r="G53" s="480"/>
      <c r="H53" s="480"/>
      <c r="I53" s="480"/>
      <c r="J53" s="480"/>
      <c r="K53" s="480"/>
      <c r="L53" s="480"/>
      <c r="M53" s="480"/>
      <c r="N53" s="480"/>
    </row>
    <row r="54" spans="1:14" ht="33" customHeight="1">
      <c r="A54" s="480"/>
      <c r="B54" s="201"/>
      <c r="C54" s="2558" t="s">
        <v>421</v>
      </c>
      <c r="D54" s="2558"/>
      <c r="E54" s="210"/>
      <c r="F54" s="481"/>
      <c r="G54" s="480"/>
      <c r="H54" s="480"/>
      <c r="I54" s="480"/>
      <c r="J54" s="480"/>
      <c r="K54" s="480"/>
      <c r="L54" s="480"/>
      <c r="M54" s="480"/>
      <c r="N54" s="480"/>
    </row>
    <row r="55" spans="1:14" ht="12" customHeight="1">
      <c r="A55" s="480"/>
      <c r="B55" s="201"/>
      <c r="C55" s="202"/>
      <c r="D55" s="249"/>
      <c r="E55" s="490"/>
      <c r="F55" s="481"/>
      <c r="G55" s="480"/>
      <c r="H55" s="480"/>
      <c r="I55" s="480"/>
      <c r="J55" s="480"/>
      <c r="K55" s="480"/>
      <c r="L55" s="480"/>
      <c r="M55" s="480"/>
      <c r="N55" s="480"/>
    </row>
    <row r="56" spans="1:14" ht="16">
      <c r="A56" s="480"/>
      <c r="B56" s="201"/>
      <c r="C56" s="509" t="s">
        <v>195</v>
      </c>
      <c r="D56" s="509"/>
      <c r="E56" s="512" t="s">
        <v>565</v>
      </c>
      <c r="F56" s="481"/>
      <c r="G56" s="480"/>
      <c r="H56" s="480"/>
      <c r="I56" s="480"/>
      <c r="J56" s="480"/>
      <c r="K56" s="480"/>
      <c r="L56" s="480"/>
      <c r="M56" s="480"/>
      <c r="N56" s="480"/>
    </row>
    <row r="57" spans="1:14" ht="69.5" customHeight="1">
      <c r="A57" s="480"/>
      <c r="B57" s="201"/>
      <c r="C57" s="2558" t="s">
        <v>15</v>
      </c>
      <c r="D57" s="2558"/>
      <c r="E57" s="210"/>
      <c r="F57" s="483"/>
      <c r="G57" s="480"/>
      <c r="H57" s="480"/>
      <c r="I57" s="480"/>
      <c r="J57" s="480"/>
      <c r="K57" s="480"/>
      <c r="L57" s="480"/>
      <c r="M57" s="480"/>
      <c r="N57" s="480"/>
    </row>
    <row r="58" spans="1:14" ht="12" customHeight="1">
      <c r="A58" s="480"/>
      <c r="B58" s="201"/>
      <c r="C58" s="202"/>
      <c r="D58" s="487"/>
      <c r="E58" s="210"/>
      <c r="F58" s="483"/>
      <c r="G58" s="480"/>
      <c r="H58" s="480"/>
      <c r="I58" s="480"/>
      <c r="J58" s="480"/>
      <c r="K58" s="480"/>
      <c r="L58" s="480"/>
      <c r="M58" s="480"/>
      <c r="N58" s="480"/>
    </row>
    <row r="59" spans="1:14" ht="53.5" customHeight="1">
      <c r="A59" s="480"/>
      <c r="B59" s="201"/>
      <c r="C59" s="2558" t="s">
        <v>16</v>
      </c>
      <c r="D59" s="2558"/>
      <c r="E59" s="210"/>
      <c r="F59" s="483"/>
      <c r="G59" s="480"/>
      <c r="H59" s="480"/>
      <c r="I59" s="480"/>
      <c r="J59" s="480"/>
      <c r="K59" s="480"/>
      <c r="L59" s="480"/>
      <c r="M59" s="480"/>
      <c r="N59" s="480"/>
    </row>
    <row r="60" spans="1:14" ht="12" customHeight="1">
      <c r="A60" s="480"/>
      <c r="B60" s="201"/>
      <c r="C60" s="493"/>
      <c r="D60" s="493"/>
      <c r="E60" s="210"/>
      <c r="F60" s="483"/>
      <c r="G60" s="480"/>
      <c r="H60" s="480"/>
      <c r="I60" s="480"/>
      <c r="J60" s="480"/>
      <c r="K60" s="480"/>
      <c r="L60" s="480"/>
      <c r="M60" s="480"/>
      <c r="N60" s="480"/>
    </row>
    <row r="61" spans="1:14" ht="28.5" customHeight="1">
      <c r="A61" s="480"/>
      <c r="B61" s="201"/>
      <c r="C61" s="2558" t="s">
        <v>12</v>
      </c>
      <c r="D61" s="2558"/>
      <c r="E61" s="217"/>
      <c r="F61" s="483"/>
      <c r="G61" s="480"/>
      <c r="H61" s="480"/>
      <c r="I61" s="480"/>
      <c r="J61" s="480"/>
      <c r="K61" s="480"/>
      <c r="L61" s="480"/>
      <c r="M61" s="480"/>
      <c r="N61" s="480"/>
    </row>
    <row r="62" spans="1:14" ht="12" customHeight="1">
      <c r="A62" s="480"/>
      <c r="B62" s="201"/>
      <c r="C62" s="202"/>
      <c r="D62" s="500"/>
      <c r="E62" s="217"/>
      <c r="F62" s="481"/>
      <c r="G62" s="480"/>
      <c r="H62" s="480"/>
      <c r="I62" s="480"/>
      <c r="J62" s="480"/>
      <c r="K62" s="480"/>
      <c r="L62" s="480"/>
      <c r="M62" s="480"/>
      <c r="N62" s="480"/>
    </row>
    <row r="63" spans="1:14" ht="15.75" customHeight="1">
      <c r="A63" s="480"/>
      <c r="B63" s="201"/>
      <c r="C63" s="509" t="s">
        <v>199</v>
      </c>
      <c r="D63" s="511"/>
      <c r="E63" s="512" t="s">
        <v>565</v>
      </c>
      <c r="F63" s="484"/>
      <c r="G63" s="484"/>
      <c r="H63" s="484"/>
      <c r="I63" s="484"/>
      <c r="J63" s="480"/>
      <c r="K63" s="480"/>
      <c r="L63" s="480"/>
      <c r="M63" s="480"/>
      <c r="N63" s="480"/>
    </row>
    <row r="64" spans="1:14" ht="42" customHeight="1">
      <c r="A64" s="480"/>
      <c r="B64" s="201"/>
      <c r="C64" s="2558" t="s">
        <v>422</v>
      </c>
      <c r="D64" s="2558"/>
      <c r="E64" s="210"/>
      <c r="F64" s="484"/>
      <c r="G64" s="484"/>
      <c r="H64" s="484"/>
      <c r="I64" s="484"/>
      <c r="J64" s="480"/>
      <c r="K64" s="480"/>
      <c r="L64" s="480"/>
      <c r="M64" s="480"/>
      <c r="N64" s="480"/>
    </row>
    <row r="65" spans="1:14" ht="12" customHeight="1">
      <c r="A65" s="480"/>
      <c r="B65" s="201"/>
      <c r="C65" s="202"/>
      <c r="D65" s="487"/>
      <c r="E65" s="210"/>
      <c r="F65" s="484"/>
      <c r="G65" s="484"/>
      <c r="H65" s="484"/>
      <c r="I65" s="484"/>
      <c r="J65" s="480"/>
      <c r="K65" s="480"/>
      <c r="L65" s="480"/>
      <c r="M65" s="480"/>
      <c r="N65" s="480"/>
    </row>
    <row r="66" spans="1:14" ht="57">
      <c r="A66" s="480"/>
      <c r="B66" s="201"/>
      <c r="C66" s="202"/>
      <c r="D66" s="487" t="s">
        <v>423</v>
      </c>
      <c r="E66" s="210"/>
      <c r="F66" s="484"/>
      <c r="G66" s="484"/>
      <c r="H66" s="484"/>
      <c r="I66" s="484"/>
      <c r="J66" s="480"/>
      <c r="K66" s="480"/>
      <c r="L66" s="480"/>
      <c r="M66" s="480"/>
      <c r="N66" s="480"/>
    </row>
    <row r="67" spans="1:14" ht="12" customHeight="1">
      <c r="A67" s="480"/>
      <c r="B67" s="201"/>
      <c r="C67" s="202"/>
      <c r="D67" s="487"/>
      <c r="E67" s="210"/>
      <c r="F67" s="484"/>
      <c r="G67" s="484"/>
      <c r="H67" s="484"/>
      <c r="I67" s="484"/>
      <c r="J67" s="480"/>
      <c r="K67" s="480"/>
      <c r="L67" s="480"/>
      <c r="M67" s="480"/>
      <c r="N67" s="480"/>
    </row>
    <row r="68" spans="1:14" ht="78.75" customHeight="1">
      <c r="A68" s="480"/>
      <c r="B68" s="201"/>
      <c r="C68" s="202"/>
      <c r="D68" s="487" t="s">
        <v>424</v>
      </c>
      <c r="E68" s="210"/>
      <c r="F68" s="484"/>
      <c r="G68" s="484"/>
      <c r="H68" s="484"/>
      <c r="I68" s="484"/>
      <c r="J68" s="480"/>
      <c r="K68" s="480"/>
      <c r="L68" s="480"/>
      <c r="M68" s="480"/>
      <c r="N68" s="480"/>
    </row>
    <row r="69" spans="1:14" ht="12" customHeight="1">
      <c r="A69" s="480"/>
      <c r="B69" s="201"/>
      <c r="C69" s="202"/>
      <c r="D69" s="487"/>
      <c r="E69" s="210"/>
      <c r="F69" s="484"/>
      <c r="G69" s="484"/>
      <c r="H69" s="484"/>
      <c r="I69" s="484"/>
      <c r="J69" s="480"/>
      <c r="K69" s="480"/>
      <c r="L69" s="480"/>
      <c r="M69" s="480"/>
      <c r="N69" s="480"/>
    </row>
    <row r="70" spans="1:14" ht="29">
      <c r="A70" s="480"/>
      <c r="B70" s="201"/>
      <c r="C70" s="202"/>
      <c r="D70" s="487" t="s">
        <v>200</v>
      </c>
      <c r="E70" s="210"/>
      <c r="F70" s="484"/>
      <c r="G70" s="484"/>
      <c r="H70" s="484"/>
      <c r="I70" s="484"/>
      <c r="J70" s="480"/>
      <c r="K70" s="480"/>
      <c r="L70" s="480"/>
      <c r="M70" s="480"/>
      <c r="N70" s="480"/>
    </row>
    <row r="71" spans="1:14" ht="15">
      <c r="A71" s="480"/>
      <c r="B71" s="201"/>
      <c r="C71" s="202"/>
      <c r="D71" s="487" t="s">
        <v>207</v>
      </c>
      <c r="E71" s="491"/>
      <c r="F71" s="480"/>
      <c r="G71" s="484"/>
      <c r="H71" s="484"/>
      <c r="I71" s="484"/>
      <c r="J71" s="480"/>
      <c r="K71" s="480"/>
      <c r="L71" s="480"/>
      <c r="M71" s="480"/>
      <c r="N71" s="480"/>
    </row>
    <row r="72" spans="1:14" ht="15">
      <c r="A72" s="480"/>
      <c r="B72" s="201"/>
      <c r="C72" s="202"/>
      <c r="D72" s="497" t="s">
        <v>202</v>
      </c>
      <c r="E72" s="491"/>
      <c r="F72" s="484"/>
      <c r="G72" s="484"/>
      <c r="H72" s="480"/>
      <c r="I72" s="484"/>
      <c r="J72" s="480"/>
      <c r="K72" s="480"/>
      <c r="L72" s="480"/>
      <c r="M72" s="480"/>
      <c r="N72" s="480"/>
    </row>
    <row r="73" spans="1:14" ht="15">
      <c r="A73" s="480"/>
      <c r="B73" s="201"/>
      <c r="C73" s="202"/>
      <c r="D73" s="497" t="s">
        <v>203</v>
      </c>
      <c r="E73" s="491"/>
      <c r="F73" s="484"/>
      <c r="G73" s="484"/>
      <c r="H73" s="484"/>
      <c r="I73" s="480"/>
      <c r="J73" s="480"/>
      <c r="K73" s="480"/>
      <c r="L73" s="480"/>
      <c r="M73" s="480"/>
      <c r="N73" s="480"/>
    </row>
    <row r="74" spans="1:14" ht="15">
      <c r="A74" s="480"/>
      <c r="B74" s="201"/>
      <c r="C74" s="202"/>
      <c r="D74" s="497" t="s">
        <v>204</v>
      </c>
      <c r="E74" s="491"/>
      <c r="F74" s="484"/>
      <c r="G74" s="484"/>
      <c r="H74" s="484"/>
      <c r="I74" s="480"/>
      <c r="J74" s="480"/>
      <c r="K74" s="480"/>
      <c r="L74" s="480"/>
      <c r="M74" s="480"/>
      <c r="N74" s="480"/>
    </row>
    <row r="75" spans="1:14" ht="15">
      <c r="A75" s="480"/>
      <c r="B75" s="201"/>
      <c r="C75" s="202"/>
      <c r="D75" s="487" t="s">
        <v>201</v>
      </c>
      <c r="E75" s="491"/>
      <c r="F75" s="484"/>
      <c r="G75" s="484"/>
      <c r="H75" s="484"/>
      <c r="I75" s="484"/>
      <c r="J75" s="480"/>
      <c r="K75" s="480"/>
      <c r="L75" s="480"/>
      <c r="M75" s="480"/>
      <c r="N75" s="480"/>
    </row>
    <row r="76" spans="1:14" ht="12" customHeight="1">
      <c r="A76" s="480"/>
      <c r="B76" s="201"/>
      <c r="C76" s="202"/>
      <c r="D76" s="487"/>
      <c r="E76" s="491"/>
      <c r="F76" s="484"/>
      <c r="G76" s="484"/>
      <c r="H76" s="484"/>
      <c r="I76" s="484"/>
      <c r="J76" s="480"/>
      <c r="K76" s="480"/>
      <c r="L76" s="480"/>
      <c r="M76" s="480"/>
      <c r="N76" s="480"/>
    </row>
    <row r="77" spans="1:14" ht="16">
      <c r="A77" s="480"/>
      <c r="B77" s="201"/>
      <c r="C77" s="509" t="s">
        <v>22</v>
      </c>
      <c r="D77" s="509"/>
      <c r="E77" s="512" t="s">
        <v>565</v>
      </c>
      <c r="F77" s="484"/>
      <c r="G77" s="484"/>
      <c r="H77" s="484"/>
      <c r="I77" s="484"/>
      <c r="J77" s="480"/>
      <c r="K77" s="480"/>
      <c r="L77" s="480"/>
      <c r="M77" s="480"/>
      <c r="N77" s="480"/>
    </row>
    <row r="78" spans="1:14" ht="68" customHeight="1">
      <c r="A78" s="480"/>
      <c r="B78" s="201"/>
      <c r="C78" s="2558" t="s">
        <v>642</v>
      </c>
      <c r="D78" s="2558"/>
      <c r="E78" s="491"/>
      <c r="F78" s="484"/>
      <c r="G78" s="484"/>
      <c r="H78" s="484"/>
      <c r="I78" s="484"/>
      <c r="J78" s="480"/>
      <c r="K78" s="480"/>
      <c r="L78" s="480"/>
      <c r="M78" s="480"/>
      <c r="N78" s="480"/>
    </row>
    <row r="79" spans="1:14" ht="12" customHeight="1">
      <c r="A79" s="480"/>
      <c r="B79" s="201"/>
      <c r="C79" s="202"/>
      <c r="D79" s="487"/>
      <c r="E79" s="491"/>
      <c r="F79" s="484"/>
      <c r="G79" s="484"/>
      <c r="H79" s="484"/>
      <c r="I79" s="484"/>
      <c r="J79" s="480"/>
      <c r="K79" s="480"/>
      <c r="L79" s="480"/>
      <c r="M79" s="480"/>
      <c r="N79" s="480"/>
    </row>
    <row r="80" spans="1:14" ht="36.75" customHeight="1">
      <c r="A80" s="480"/>
      <c r="B80" s="201"/>
      <c r="C80" s="2558" t="s">
        <v>643</v>
      </c>
      <c r="D80" s="2558"/>
      <c r="E80" s="491"/>
      <c r="F80" s="484"/>
      <c r="G80" s="484"/>
      <c r="H80" s="484"/>
      <c r="I80" s="484"/>
      <c r="J80" s="480"/>
      <c r="K80" s="480"/>
      <c r="L80" s="480"/>
      <c r="M80" s="480"/>
      <c r="N80" s="480"/>
    </row>
    <row r="81" spans="1:14" ht="12" customHeight="1">
      <c r="A81" s="480"/>
      <c r="B81" s="201"/>
      <c r="C81" s="202"/>
      <c r="D81" s="487"/>
      <c r="E81" s="491"/>
      <c r="F81" s="484"/>
      <c r="G81" s="484"/>
      <c r="H81" s="484"/>
      <c r="I81" s="484"/>
      <c r="J81" s="480"/>
      <c r="K81" s="480"/>
      <c r="L81" s="480"/>
      <c r="M81" s="480"/>
      <c r="N81" s="480"/>
    </row>
    <row r="82" spans="1:14" ht="16">
      <c r="A82" s="480"/>
      <c r="B82" s="201"/>
      <c r="C82" s="509" t="s">
        <v>205</v>
      </c>
      <c r="D82" s="509"/>
      <c r="E82" s="512" t="s">
        <v>565</v>
      </c>
      <c r="F82" s="484"/>
      <c r="G82" s="484"/>
      <c r="H82" s="484"/>
      <c r="I82" s="484"/>
      <c r="J82" s="480"/>
      <c r="K82" s="480"/>
      <c r="L82" s="480"/>
      <c r="M82" s="480"/>
      <c r="N82" s="480"/>
    </row>
    <row r="83" spans="1:14" ht="57" customHeight="1">
      <c r="A83" s="480"/>
      <c r="B83" s="201"/>
      <c r="C83" s="2558" t="s">
        <v>532</v>
      </c>
      <c r="D83" s="2558"/>
      <c r="E83" s="491"/>
      <c r="F83" s="484"/>
      <c r="G83" s="484"/>
      <c r="H83" s="484"/>
      <c r="I83" s="484"/>
      <c r="J83" s="480"/>
      <c r="K83" s="480"/>
      <c r="L83" s="480"/>
      <c r="M83" s="480"/>
      <c r="N83" s="480"/>
    </row>
    <row r="84" spans="1:14">
      <c r="A84" s="480"/>
      <c r="B84" s="201"/>
      <c r="C84" s="202"/>
      <c r="D84" s="500" t="s">
        <v>554</v>
      </c>
      <c r="E84" s="491"/>
      <c r="F84" s="484"/>
      <c r="G84" s="484"/>
      <c r="H84" s="484"/>
      <c r="I84" s="484"/>
      <c r="J84" s="480"/>
      <c r="K84" s="480"/>
      <c r="L84" s="480"/>
      <c r="M84" s="480"/>
      <c r="N84" s="480"/>
    </row>
    <row r="85" spans="1:14" ht="15.5" customHeight="1">
      <c r="A85" s="480"/>
      <c r="B85" s="201"/>
      <c r="C85" s="202"/>
      <c r="D85" s="500" t="s">
        <v>208</v>
      </c>
      <c r="E85" s="491"/>
      <c r="F85" s="484"/>
      <c r="G85" s="484"/>
      <c r="H85" s="484"/>
      <c r="I85" s="484"/>
      <c r="J85" s="480"/>
      <c r="K85" s="480"/>
      <c r="L85" s="480"/>
      <c r="M85" s="480"/>
      <c r="N85" s="480"/>
    </row>
    <row r="86" spans="1:14" ht="68" customHeight="1">
      <c r="A86" s="480"/>
      <c r="B86" s="201"/>
      <c r="C86" s="202"/>
      <c r="D86" s="487" t="s">
        <v>13</v>
      </c>
      <c r="E86" s="491"/>
      <c r="F86" s="484"/>
      <c r="G86" s="484"/>
      <c r="H86" s="484"/>
      <c r="I86" s="484"/>
      <c r="J86" s="480"/>
      <c r="K86" s="480"/>
      <c r="L86" s="480"/>
      <c r="M86" s="480"/>
      <c r="N86" s="480"/>
    </row>
    <row r="87" spans="1:14">
      <c r="A87" s="480"/>
      <c r="B87" s="201"/>
      <c r="C87" s="202"/>
      <c r="D87" s="500" t="s">
        <v>209</v>
      </c>
      <c r="E87" s="491"/>
      <c r="F87" s="484"/>
      <c r="G87" s="484"/>
      <c r="H87" s="484"/>
      <c r="I87" s="484"/>
      <c r="J87" s="480"/>
      <c r="K87" s="480"/>
      <c r="L87" s="480"/>
      <c r="M87" s="480"/>
      <c r="N87" s="480"/>
    </row>
    <row r="88" spans="1:14" ht="12" customHeight="1">
      <c r="A88" s="480"/>
      <c r="B88" s="201"/>
      <c r="C88" s="202"/>
      <c r="D88" s="249"/>
      <c r="E88" s="210"/>
      <c r="F88" s="480"/>
      <c r="G88" s="480"/>
      <c r="H88" s="480"/>
      <c r="I88" s="480"/>
      <c r="J88" s="480"/>
      <c r="K88" s="480"/>
      <c r="L88" s="480"/>
      <c r="M88" s="480"/>
      <c r="N88" s="480"/>
    </row>
    <row r="89" spans="1:14" ht="16">
      <c r="A89" s="480"/>
      <c r="B89" s="201"/>
      <c r="C89" s="509" t="s">
        <v>425</v>
      </c>
      <c r="D89" s="509"/>
      <c r="E89" s="512" t="s">
        <v>565</v>
      </c>
      <c r="F89" s="480"/>
      <c r="G89" s="480"/>
      <c r="H89" s="480"/>
      <c r="I89" s="480"/>
      <c r="J89" s="480"/>
      <c r="K89" s="480"/>
      <c r="L89" s="480"/>
      <c r="M89" s="480"/>
      <c r="N89" s="480"/>
    </row>
    <row r="90" spans="1:14" ht="27.75" customHeight="1">
      <c r="A90" s="480"/>
      <c r="B90" s="201"/>
      <c r="C90" s="2558" t="s">
        <v>426</v>
      </c>
      <c r="D90" s="2558"/>
      <c r="E90" s="210"/>
      <c r="F90" s="480"/>
      <c r="G90" s="480"/>
      <c r="H90" s="480"/>
      <c r="I90" s="480"/>
      <c r="J90" s="480"/>
      <c r="K90" s="480"/>
      <c r="L90" s="480"/>
      <c r="M90" s="480"/>
      <c r="N90" s="480"/>
    </row>
    <row r="91" spans="1:14" ht="12" customHeight="1">
      <c r="A91" s="480"/>
      <c r="B91" s="201"/>
      <c r="C91" s="493"/>
      <c r="D91" s="493"/>
      <c r="E91" s="512" t="s">
        <v>565</v>
      </c>
      <c r="F91" s="480"/>
      <c r="G91" s="480"/>
      <c r="H91" s="480"/>
      <c r="I91" s="480"/>
      <c r="J91" s="480"/>
      <c r="K91" s="480"/>
      <c r="L91" s="480"/>
      <c r="M91" s="480"/>
      <c r="N91" s="480"/>
    </row>
    <row r="92" spans="1:14" ht="16">
      <c r="A92" s="480"/>
      <c r="B92" s="201"/>
      <c r="C92" s="202"/>
      <c r="D92" s="495" t="s">
        <v>427</v>
      </c>
      <c r="E92" s="109"/>
      <c r="F92" s="480"/>
      <c r="G92" s="480"/>
      <c r="H92" s="480"/>
      <c r="I92" s="480"/>
      <c r="J92" s="480"/>
      <c r="K92" s="480"/>
      <c r="L92" s="480"/>
      <c r="M92" s="480"/>
      <c r="N92" s="480"/>
    </row>
    <row r="93" spans="1:14" ht="82.25" customHeight="1">
      <c r="A93" s="480"/>
      <c r="B93" s="201"/>
      <c r="C93" s="202"/>
      <c r="D93" s="487" t="s">
        <v>428</v>
      </c>
      <c r="E93" s="210"/>
      <c r="F93" s="480"/>
      <c r="G93" s="486"/>
      <c r="H93" s="480"/>
      <c r="I93" s="480"/>
      <c r="J93" s="480"/>
      <c r="K93" s="480"/>
      <c r="L93" s="480"/>
      <c r="M93" s="480"/>
      <c r="N93" s="480"/>
    </row>
    <row r="94" spans="1:14" ht="12" customHeight="1">
      <c r="A94" s="480"/>
      <c r="B94" s="201"/>
      <c r="C94" s="202"/>
      <c r="D94" s="487"/>
      <c r="E94" s="210"/>
      <c r="F94" s="480"/>
      <c r="G94" s="486"/>
      <c r="H94" s="480"/>
      <c r="I94" s="480"/>
      <c r="J94" s="480"/>
      <c r="K94" s="480"/>
      <c r="L94" s="480"/>
      <c r="M94" s="480"/>
      <c r="N94" s="480"/>
    </row>
    <row r="95" spans="1:14" ht="136.25" customHeight="1">
      <c r="A95" s="480"/>
      <c r="B95" s="201"/>
      <c r="C95" s="202"/>
      <c r="D95" s="487" t="s">
        <v>533</v>
      </c>
      <c r="E95" s="210"/>
      <c r="F95" s="480"/>
      <c r="G95" s="480"/>
      <c r="H95" s="480"/>
      <c r="I95" s="480"/>
      <c r="J95" s="480"/>
      <c r="K95" s="480"/>
      <c r="L95" s="480"/>
      <c r="M95" s="480"/>
      <c r="N95" s="480"/>
    </row>
    <row r="96" spans="1:14" ht="12" customHeight="1">
      <c r="A96" s="480"/>
      <c r="B96" s="201"/>
      <c r="C96" s="202"/>
      <c r="D96" s="487"/>
      <c r="E96" s="210"/>
      <c r="F96" s="480"/>
      <c r="G96" s="480"/>
      <c r="H96" s="480"/>
      <c r="I96" s="480"/>
      <c r="J96" s="480"/>
      <c r="K96" s="480"/>
      <c r="L96" s="480"/>
      <c r="M96" s="480"/>
      <c r="N96" s="480"/>
    </row>
    <row r="97" spans="1:14" ht="29.25" customHeight="1">
      <c r="A97" s="480"/>
      <c r="B97" s="201"/>
      <c r="C97" s="202"/>
      <c r="D97" s="487" t="s">
        <v>429</v>
      </c>
      <c r="E97" s="210"/>
      <c r="F97" s="480"/>
      <c r="G97" s="480"/>
      <c r="H97" s="480"/>
      <c r="I97" s="480"/>
      <c r="J97" s="480"/>
      <c r="K97" s="480"/>
      <c r="L97" s="480"/>
      <c r="M97" s="480"/>
      <c r="N97" s="480"/>
    </row>
    <row r="98" spans="1:14" ht="12" customHeight="1">
      <c r="A98" s="480"/>
      <c r="B98" s="201"/>
      <c r="C98" s="202"/>
      <c r="D98" s="487"/>
      <c r="E98" s="210"/>
      <c r="F98" s="480"/>
      <c r="G98" s="480"/>
      <c r="H98" s="480"/>
      <c r="I98" s="480"/>
      <c r="J98" s="480"/>
      <c r="K98" s="480"/>
      <c r="L98" s="480"/>
      <c r="M98" s="480"/>
      <c r="N98" s="480"/>
    </row>
    <row r="99" spans="1:14" ht="117.75" customHeight="1">
      <c r="A99" s="480"/>
      <c r="B99" s="201"/>
      <c r="C99" s="202"/>
      <c r="D99" s="496" t="s">
        <v>534</v>
      </c>
      <c r="E99" s="210"/>
      <c r="F99" s="480"/>
      <c r="G99" s="480"/>
      <c r="H99" s="480"/>
      <c r="I99" s="480"/>
      <c r="J99" s="480"/>
      <c r="K99" s="480"/>
      <c r="L99" s="480"/>
      <c r="M99" s="480"/>
      <c r="N99" s="480"/>
    </row>
    <row r="100" spans="1:14" ht="12" customHeight="1">
      <c r="A100" s="480"/>
      <c r="B100" s="201"/>
      <c r="C100" s="202"/>
      <c r="D100" s="496"/>
      <c r="E100" s="210"/>
      <c r="F100" s="480"/>
      <c r="G100" s="480"/>
      <c r="H100" s="480"/>
      <c r="I100" s="480"/>
      <c r="J100" s="480"/>
      <c r="K100" s="480"/>
      <c r="L100" s="480"/>
      <c r="M100" s="480"/>
      <c r="N100" s="480"/>
    </row>
    <row r="101" spans="1:14" ht="57.75" customHeight="1">
      <c r="A101" s="480"/>
      <c r="B101" s="201"/>
      <c r="C101" s="202"/>
      <c r="D101" s="487" t="s">
        <v>430</v>
      </c>
      <c r="E101" s="210"/>
      <c r="F101" s="480"/>
      <c r="G101" s="480"/>
      <c r="H101" s="480"/>
      <c r="I101" s="480"/>
      <c r="J101" s="480"/>
      <c r="K101" s="480"/>
      <c r="L101" s="480"/>
      <c r="M101" s="480"/>
      <c r="N101" s="480"/>
    </row>
    <row r="102" spans="1:14" ht="12" customHeight="1">
      <c r="A102" s="480"/>
      <c r="B102" s="201"/>
      <c r="C102" s="202"/>
      <c r="D102" s="487"/>
      <c r="E102" s="210"/>
      <c r="F102" s="480"/>
      <c r="G102" s="480"/>
      <c r="H102" s="480"/>
      <c r="I102" s="480"/>
      <c r="J102" s="480"/>
      <c r="K102" s="480"/>
      <c r="L102" s="480"/>
      <c r="M102" s="480"/>
      <c r="N102" s="480"/>
    </row>
    <row r="103" spans="1:14" ht="27.75" customHeight="1">
      <c r="A103" s="480"/>
      <c r="B103" s="201"/>
      <c r="C103" s="202"/>
      <c r="D103" s="496" t="s">
        <v>431</v>
      </c>
      <c r="E103" s="210"/>
      <c r="F103" s="480"/>
      <c r="G103" s="480"/>
      <c r="H103" s="480"/>
      <c r="I103" s="480"/>
      <c r="J103" s="480"/>
      <c r="K103" s="480"/>
      <c r="L103" s="480"/>
      <c r="M103" s="480"/>
      <c r="N103" s="480"/>
    </row>
    <row r="104" spans="1:14" ht="12" customHeight="1">
      <c r="A104" s="480"/>
      <c r="B104" s="201"/>
      <c r="C104" s="202"/>
      <c r="D104" s="496"/>
      <c r="E104" s="210"/>
      <c r="F104" s="480"/>
      <c r="G104" s="480"/>
      <c r="H104" s="480"/>
      <c r="I104" s="480"/>
      <c r="J104" s="480"/>
      <c r="K104" s="480"/>
      <c r="L104" s="480"/>
      <c r="M104" s="480"/>
      <c r="N104" s="480"/>
    </row>
    <row r="105" spans="1:14" ht="41.25" customHeight="1">
      <c r="A105" s="480"/>
      <c r="B105" s="201"/>
      <c r="C105" s="202"/>
      <c r="D105" s="496" t="s">
        <v>535</v>
      </c>
      <c r="E105" s="210"/>
      <c r="F105" s="480"/>
      <c r="G105" s="480"/>
      <c r="H105" s="480"/>
      <c r="I105" s="480"/>
      <c r="J105" s="480"/>
      <c r="K105" s="480"/>
      <c r="L105" s="480"/>
      <c r="M105" s="480"/>
      <c r="N105" s="480"/>
    </row>
    <row r="106" spans="1:14" ht="12" customHeight="1">
      <c r="A106" s="480"/>
      <c r="B106" s="201"/>
      <c r="C106" s="202"/>
      <c r="D106" s="496"/>
      <c r="E106" s="210"/>
      <c r="F106" s="480"/>
      <c r="G106" s="480"/>
      <c r="H106" s="480"/>
      <c r="I106" s="480"/>
      <c r="J106" s="480"/>
      <c r="K106" s="480"/>
      <c r="L106" s="480"/>
      <c r="M106" s="480"/>
      <c r="N106" s="480"/>
    </row>
    <row r="107" spans="1:14" ht="29.25" customHeight="1">
      <c r="A107" s="480"/>
      <c r="B107" s="201"/>
      <c r="C107" s="202"/>
      <c r="D107" s="496" t="s">
        <v>432</v>
      </c>
      <c r="E107" s="210"/>
      <c r="F107" s="480"/>
      <c r="G107" s="480"/>
      <c r="H107" s="480"/>
      <c r="I107" s="480"/>
      <c r="J107" s="480"/>
      <c r="K107" s="480"/>
      <c r="L107" s="480"/>
      <c r="M107" s="480"/>
      <c r="N107" s="480"/>
    </row>
    <row r="108" spans="1:14" ht="12" customHeight="1">
      <c r="A108" s="480"/>
      <c r="B108" s="201"/>
      <c r="C108" s="202"/>
      <c r="D108" s="496"/>
      <c r="E108" s="512" t="s">
        <v>565</v>
      </c>
      <c r="F108" s="480"/>
      <c r="G108" s="480"/>
      <c r="H108" s="480"/>
      <c r="I108" s="480"/>
      <c r="J108" s="480"/>
      <c r="K108" s="480"/>
      <c r="L108" s="480"/>
      <c r="M108" s="480"/>
      <c r="N108" s="480"/>
    </row>
    <row r="109" spans="1:14" ht="16.5" customHeight="1">
      <c r="A109" s="480"/>
      <c r="B109" s="201"/>
      <c r="C109" s="202"/>
      <c r="D109" s="495" t="s">
        <v>433</v>
      </c>
      <c r="E109" s="210"/>
      <c r="F109" s="480"/>
      <c r="G109" s="480"/>
      <c r="H109" s="480"/>
      <c r="I109" s="480"/>
      <c r="J109" s="480"/>
      <c r="K109" s="480"/>
      <c r="L109" s="480"/>
      <c r="M109" s="480"/>
      <c r="N109" s="480"/>
    </row>
    <row r="110" spans="1:14" ht="55.5" customHeight="1">
      <c r="A110" s="480"/>
      <c r="B110" s="201"/>
      <c r="C110" s="202"/>
      <c r="D110" s="487" t="s">
        <v>536</v>
      </c>
      <c r="E110" s="210"/>
      <c r="F110" s="480"/>
      <c r="G110" s="480"/>
      <c r="H110" s="480"/>
      <c r="I110" s="480"/>
      <c r="J110" s="480"/>
      <c r="K110" s="480"/>
      <c r="L110" s="480"/>
      <c r="M110" s="480"/>
      <c r="N110" s="480"/>
    </row>
    <row r="111" spans="1:14" ht="12" customHeight="1">
      <c r="A111" s="480"/>
      <c r="B111" s="201"/>
      <c r="C111" s="202"/>
      <c r="D111" s="487"/>
      <c r="E111" s="210"/>
      <c r="F111" s="480"/>
      <c r="G111" s="480"/>
      <c r="H111" s="480"/>
      <c r="I111" s="480"/>
      <c r="J111" s="480"/>
      <c r="K111" s="480"/>
      <c r="L111" s="480"/>
      <c r="M111" s="480"/>
      <c r="N111" s="480"/>
    </row>
    <row r="112" spans="1:14" ht="68.25" customHeight="1">
      <c r="A112" s="480"/>
      <c r="B112" s="201"/>
      <c r="C112" s="202"/>
      <c r="D112" s="487" t="s">
        <v>434</v>
      </c>
      <c r="E112" s="210"/>
      <c r="F112" s="480"/>
      <c r="G112" s="480"/>
      <c r="H112" s="480"/>
      <c r="I112" s="480"/>
      <c r="J112" s="480"/>
      <c r="K112" s="480"/>
      <c r="L112" s="480"/>
      <c r="M112" s="480"/>
      <c r="N112" s="480"/>
    </row>
    <row r="113" spans="1:14" ht="12" customHeight="1">
      <c r="A113" s="480"/>
      <c r="B113" s="201"/>
      <c r="C113" s="202"/>
      <c r="D113" s="487"/>
      <c r="E113" s="210"/>
      <c r="F113" s="480"/>
      <c r="G113" s="480"/>
      <c r="H113" s="480"/>
      <c r="I113" s="480"/>
      <c r="J113" s="480"/>
      <c r="K113" s="480"/>
      <c r="L113" s="480"/>
      <c r="M113" s="480"/>
      <c r="N113" s="480"/>
    </row>
    <row r="114" spans="1:14" ht="107" customHeight="1">
      <c r="A114" s="480"/>
      <c r="B114" s="201"/>
      <c r="C114" s="202"/>
      <c r="D114" s="487" t="s">
        <v>435</v>
      </c>
      <c r="E114" s="210"/>
      <c r="F114" s="480"/>
      <c r="G114" s="480"/>
      <c r="H114" s="480"/>
      <c r="I114" s="480"/>
      <c r="J114" s="480"/>
      <c r="K114" s="480"/>
      <c r="L114" s="480"/>
      <c r="M114" s="480"/>
      <c r="N114" s="480"/>
    </row>
    <row r="115" spans="1:14" ht="12" customHeight="1">
      <c r="A115" s="480"/>
      <c r="B115" s="201"/>
      <c r="C115" s="202"/>
      <c r="D115" s="487"/>
      <c r="E115" s="210"/>
      <c r="F115" s="480"/>
      <c r="G115" s="480"/>
      <c r="H115" s="480"/>
      <c r="I115" s="480"/>
      <c r="J115" s="480"/>
      <c r="K115" s="480"/>
      <c r="L115" s="480"/>
      <c r="M115" s="480"/>
      <c r="N115" s="480"/>
    </row>
    <row r="116" spans="1:14" ht="42" customHeight="1">
      <c r="A116" s="480"/>
      <c r="B116" s="201"/>
      <c r="C116" s="202"/>
      <c r="D116" s="487" t="s">
        <v>548</v>
      </c>
      <c r="E116" s="210"/>
      <c r="F116" s="480"/>
      <c r="G116" s="480"/>
      <c r="H116" s="480"/>
      <c r="I116" s="480"/>
      <c r="J116" s="480"/>
      <c r="K116" s="480"/>
      <c r="L116" s="480"/>
      <c r="M116" s="480"/>
      <c r="N116" s="480"/>
    </row>
    <row r="117" spans="1:14" ht="12" customHeight="1">
      <c r="A117" s="480"/>
      <c r="B117" s="201"/>
      <c r="C117" s="202"/>
      <c r="D117" s="487"/>
      <c r="E117" s="210"/>
      <c r="F117" s="480"/>
      <c r="G117" s="480"/>
      <c r="H117" s="480"/>
      <c r="I117" s="480"/>
      <c r="J117" s="480"/>
      <c r="K117" s="480"/>
      <c r="L117" s="480"/>
      <c r="M117" s="480"/>
      <c r="N117" s="480"/>
    </row>
    <row r="118" spans="1:14" ht="15">
      <c r="A118" s="480"/>
      <c r="B118" s="201"/>
      <c r="C118" s="202"/>
      <c r="D118" s="487" t="s">
        <v>436</v>
      </c>
      <c r="E118" s="210"/>
      <c r="F118" s="480"/>
      <c r="G118" s="480"/>
      <c r="H118" s="480"/>
      <c r="I118" s="480"/>
      <c r="J118" s="480"/>
      <c r="K118" s="480"/>
      <c r="L118" s="480"/>
      <c r="M118" s="480"/>
      <c r="N118" s="480"/>
    </row>
    <row r="119" spans="1:14" ht="12" customHeight="1">
      <c r="A119" s="480"/>
      <c r="B119" s="201"/>
      <c r="C119" s="202"/>
      <c r="D119" s="487"/>
      <c r="E119" s="210"/>
      <c r="F119" s="480"/>
      <c r="G119" s="480"/>
      <c r="H119" s="480"/>
      <c r="I119" s="480"/>
      <c r="J119" s="480"/>
      <c r="K119" s="480"/>
      <c r="L119" s="480"/>
      <c r="M119" s="480"/>
      <c r="N119" s="480"/>
    </row>
    <row r="120" spans="1:14" ht="39.75" customHeight="1">
      <c r="A120" s="480"/>
      <c r="B120" s="201"/>
      <c r="C120" s="202"/>
      <c r="D120" s="487" t="s">
        <v>17</v>
      </c>
      <c r="E120" s="210"/>
      <c r="F120" s="480"/>
      <c r="G120" s="480"/>
      <c r="H120" s="480"/>
      <c r="I120" s="480"/>
      <c r="J120" s="480"/>
      <c r="K120" s="480"/>
      <c r="L120" s="480"/>
      <c r="M120" s="480"/>
      <c r="N120" s="480"/>
    </row>
    <row r="121" spans="1:14" ht="12" customHeight="1">
      <c r="A121" s="480"/>
      <c r="B121" s="201"/>
      <c r="C121" s="202"/>
      <c r="D121" s="487"/>
      <c r="E121" s="210"/>
      <c r="F121" s="480"/>
      <c r="G121" s="480"/>
      <c r="H121" s="480"/>
      <c r="I121" s="480"/>
      <c r="J121" s="480"/>
      <c r="K121" s="480"/>
      <c r="L121" s="480"/>
      <c r="M121" s="480"/>
      <c r="N121" s="480"/>
    </row>
    <row r="122" spans="1:14" ht="110" customHeight="1">
      <c r="A122" s="480"/>
      <c r="B122" s="201"/>
      <c r="C122" s="202"/>
      <c r="D122" s="487" t="s">
        <v>537</v>
      </c>
      <c r="E122" s="210"/>
      <c r="F122" s="480"/>
      <c r="G122" s="480"/>
      <c r="H122" s="480"/>
      <c r="I122" s="480"/>
      <c r="J122" s="480"/>
      <c r="K122" s="480"/>
      <c r="L122" s="480"/>
      <c r="M122" s="480"/>
      <c r="N122" s="480"/>
    </row>
    <row r="123" spans="1:14" ht="12" customHeight="1">
      <c r="A123" s="480"/>
      <c r="B123" s="201"/>
      <c r="C123" s="202"/>
      <c r="D123" s="487"/>
      <c r="E123" s="210"/>
      <c r="F123" s="480"/>
      <c r="G123" s="480"/>
      <c r="H123" s="480"/>
      <c r="I123" s="480"/>
      <c r="J123" s="480"/>
      <c r="K123" s="480"/>
      <c r="L123" s="480"/>
      <c r="M123" s="480"/>
      <c r="N123" s="480"/>
    </row>
    <row r="124" spans="1:14" ht="15">
      <c r="A124" s="480"/>
      <c r="B124" s="201"/>
      <c r="C124" s="202"/>
      <c r="D124" s="497" t="s">
        <v>210</v>
      </c>
      <c r="E124" s="210"/>
      <c r="F124" s="480"/>
      <c r="G124" s="480"/>
      <c r="H124" s="480"/>
      <c r="I124" s="480"/>
      <c r="J124" s="480"/>
      <c r="K124" s="480"/>
      <c r="L124" s="480"/>
      <c r="M124" s="480"/>
      <c r="N124" s="480"/>
    </row>
    <row r="125" spans="1:14" ht="54.5" customHeight="1">
      <c r="A125" s="480"/>
      <c r="B125" s="201"/>
      <c r="C125" s="202"/>
      <c r="D125" s="487" t="s">
        <v>211</v>
      </c>
      <c r="E125" s="210"/>
      <c r="F125" s="480"/>
      <c r="G125" s="480"/>
      <c r="H125" s="480"/>
      <c r="I125" s="480"/>
      <c r="J125" s="480"/>
      <c r="K125" s="480"/>
      <c r="L125" s="480"/>
      <c r="M125" s="480"/>
      <c r="N125" s="480"/>
    </row>
    <row r="126" spans="1:14" ht="12" customHeight="1">
      <c r="A126" s="480"/>
      <c r="B126" s="201"/>
      <c r="C126" s="202"/>
      <c r="D126" s="498"/>
      <c r="E126" s="210"/>
      <c r="F126" s="480"/>
      <c r="G126" s="480"/>
      <c r="H126" s="480"/>
      <c r="I126" s="480"/>
      <c r="J126" s="480"/>
      <c r="K126" s="480"/>
      <c r="L126" s="480"/>
      <c r="M126" s="480"/>
      <c r="N126" s="480"/>
    </row>
    <row r="127" spans="1:14" ht="137.5" customHeight="1">
      <c r="A127" s="480"/>
      <c r="B127" s="201"/>
      <c r="C127" s="202"/>
      <c r="D127" s="487" t="s">
        <v>538</v>
      </c>
      <c r="E127" s="210"/>
      <c r="F127" s="480"/>
      <c r="G127" s="480"/>
      <c r="H127" s="480"/>
      <c r="I127" s="480"/>
      <c r="J127" s="480"/>
      <c r="K127" s="480"/>
      <c r="L127" s="480"/>
      <c r="M127" s="480"/>
      <c r="N127" s="480"/>
    </row>
    <row r="128" spans="1:14" ht="56.25" customHeight="1">
      <c r="A128" s="480"/>
      <c r="B128" s="201"/>
      <c r="C128" s="202"/>
      <c r="D128" s="487" t="s">
        <v>539</v>
      </c>
      <c r="E128" s="210"/>
      <c r="F128" s="480"/>
      <c r="G128" s="480"/>
      <c r="H128" s="480"/>
      <c r="I128" s="480"/>
      <c r="J128" s="480"/>
      <c r="K128" s="480"/>
      <c r="L128" s="480"/>
      <c r="M128" s="480"/>
      <c r="N128" s="480"/>
    </row>
    <row r="129" spans="1:14" ht="12" customHeight="1">
      <c r="A129" s="480"/>
      <c r="B129" s="201"/>
      <c r="C129" s="202"/>
      <c r="D129" s="487"/>
      <c r="E129" s="210"/>
      <c r="F129" s="480"/>
      <c r="G129" s="480"/>
      <c r="H129" s="480"/>
      <c r="I129" s="480"/>
      <c r="J129" s="480"/>
      <c r="K129" s="480"/>
      <c r="L129" s="480"/>
      <c r="M129" s="480"/>
      <c r="N129" s="480"/>
    </row>
    <row r="130" spans="1:14" ht="44.25" customHeight="1">
      <c r="A130" s="480"/>
      <c r="B130" s="201"/>
      <c r="C130" s="202"/>
      <c r="D130" s="498" t="s">
        <v>18</v>
      </c>
      <c r="E130" s="210"/>
      <c r="F130" s="480"/>
      <c r="G130" s="480"/>
      <c r="H130" s="480"/>
      <c r="I130" s="480"/>
      <c r="J130" s="480"/>
      <c r="K130" s="480"/>
      <c r="L130" s="480"/>
      <c r="M130" s="480"/>
      <c r="N130" s="480"/>
    </row>
    <row r="131" spans="1:14" ht="12" customHeight="1">
      <c r="A131" s="480"/>
      <c r="B131" s="201"/>
      <c r="C131" s="202"/>
      <c r="D131" s="487"/>
      <c r="E131" s="512" t="s">
        <v>565</v>
      </c>
      <c r="F131" s="480"/>
      <c r="G131" s="480"/>
      <c r="H131" s="480"/>
      <c r="I131" s="480"/>
      <c r="J131" s="480"/>
      <c r="K131" s="480"/>
      <c r="L131" s="480"/>
      <c r="M131" s="480"/>
      <c r="N131" s="480"/>
    </row>
    <row r="132" spans="1:14" ht="16">
      <c r="A132" s="480"/>
      <c r="B132" s="201"/>
      <c r="C132" s="202"/>
      <c r="D132" s="499" t="s">
        <v>544</v>
      </c>
      <c r="E132" s="210"/>
      <c r="F132" s="480"/>
      <c r="G132" s="480"/>
      <c r="H132" s="480"/>
      <c r="I132" s="480"/>
      <c r="J132" s="480"/>
      <c r="K132" s="480"/>
      <c r="L132" s="480"/>
      <c r="M132" s="480"/>
      <c r="N132" s="480"/>
    </row>
    <row r="133" spans="1:14" ht="57" customHeight="1">
      <c r="A133" s="480"/>
      <c r="B133" s="201"/>
      <c r="C133" s="202"/>
      <c r="D133" s="487" t="s">
        <v>545</v>
      </c>
      <c r="E133" s="210"/>
      <c r="F133" s="480"/>
      <c r="G133" s="480"/>
      <c r="H133" s="480"/>
      <c r="I133" s="480"/>
      <c r="J133" s="480"/>
      <c r="K133" s="480"/>
      <c r="L133" s="480"/>
      <c r="M133" s="480"/>
      <c r="N133" s="480"/>
    </row>
    <row r="134" spans="1:14" ht="12" customHeight="1">
      <c r="A134" s="480"/>
      <c r="B134" s="201"/>
      <c r="C134" s="202"/>
      <c r="D134" s="487"/>
      <c r="E134" s="210"/>
      <c r="F134" s="480"/>
      <c r="G134" s="480"/>
      <c r="H134" s="480"/>
      <c r="I134" s="480"/>
      <c r="J134" s="480"/>
      <c r="K134" s="480"/>
      <c r="L134" s="480"/>
      <c r="M134" s="480"/>
      <c r="N134" s="480"/>
    </row>
    <row r="135" spans="1:14" ht="41.25" customHeight="1">
      <c r="A135" s="480"/>
      <c r="B135" s="201"/>
      <c r="C135" s="202"/>
      <c r="D135" s="487" t="s">
        <v>546</v>
      </c>
      <c r="E135" s="210"/>
      <c r="F135" s="480"/>
      <c r="G135" s="480"/>
      <c r="H135" s="480"/>
      <c r="I135" s="480"/>
      <c r="J135" s="480"/>
      <c r="K135" s="480"/>
      <c r="L135" s="480"/>
      <c r="M135" s="480"/>
      <c r="N135" s="480"/>
    </row>
    <row r="136" spans="1:14" ht="12" customHeight="1">
      <c r="A136" s="480"/>
      <c r="B136" s="201"/>
      <c r="C136" s="202"/>
      <c r="D136" s="487"/>
      <c r="E136" s="512" t="s">
        <v>565</v>
      </c>
      <c r="F136" s="480"/>
      <c r="G136" s="480"/>
      <c r="H136" s="480"/>
      <c r="I136" s="480"/>
      <c r="J136" s="480"/>
      <c r="K136" s="480"/>
      <c r="L136" s="480"/>
      <c r="M136" s="480"/>
      <c r="N136" s="480"/>
    </row>
    <row r="137" spans="1:14" ht="16">
      <c r="A137" s="480"/>
      <c r="B137" s="201"/>
      <c r="C137" s="202"/>
      <c r="D137" s="499" t="s">
        <v>547</v>
      </c>
      <c r="E137" s="210"/>
      <c r="F137" s="480"/>
      <c r="G137" s="480"/>
      <c r="H137" s="480"/>
      <c r="I137" s="480"/>
      <c r="J137" s="480"/>
      <c r="K137" s="480"/>
      <c r="L137" s="480"/>
      <c r="M137" s="480"/>
      <c r="N137" s="480"/>
    </row>
    <row r="138" spans="1:14" ht="56.25" customHeight="1">
      <c r="A138" s="480"/>
      <c r="B138" s="201"/>
      <c r="C138" s="202"/>
      <c r="D138" s="487" t="s">
        <v>549</v>
      </c>
      <c r="E138" s="210"/>
      <c r="F138" s="480"/>
      <c r="G138" s="480"/>
      <c r="H138" s="480"/>
      <c r="I138" s="480"/>
      <c r="J138" s="480"/>
      <c r="K138" s="480"/>
      <c r="L138" s="480"/>
      <c r="M138" s="480"/>
      <c r="N138" s="480"/>
    </row>
    <row r="139" spans="1:14" ht="12" customHeight="1">
      <c r="A139" s="480"/>
      <c r="B139" s="201"/>
      <c r="C139" s="202"/>
      <c r="D139" s="487"/>
      <c r="E139" s="210"/>
      <c r="F139" s="480"/>
      <c r="G139" s="480"/>
      <c r="H139" s="480"/>
      <c r="I139" s="480"/>
      <c r="J139" s="480"/>
      <c r="K139" s="480"/>
      <c r="L139" s="480"/>
      <c r="M139" s="480"/>
      <c r="N139" s="480"/>
    </row>
    <row r="140" spans="1:14" ht="123.75" customHeight="1">
      <c r="A140" s="480"/>
      <c r="B140" s="201"/>
      <c r="C140" s="202"/>
      <c r="D140" s="487" t="s">
        <v>550</v>
      </c>
      <c r="E140" s="210"/>
      <c r="F140" s="480"/>
      <c r="G140" s="480"/>
      <c r="H140" s="480"/>
      <c r="I140" s="480"/>
      <c r="J140" s="480"/>
      <c r="K140" s="480"/>
      <c r="L140" s="480"/>
      <c r="M140" s="480"/>
      <c r="N140" s="480"/>
    </row>
    <row r="141" spans="1:14" ht="12" customHeight="1">
      <c r="A141" s="480"/>
      <c r="B141" s="201"/>
      <c r="C141" s="202"/>
      <c r="D141" s="487"/>
      <c r="E141" s="512" t="s">
        <v>565</v>
      </c>
      <c r="F141" s="480"/>
      <c r="G141" s="480"/>
      <c r="H141" s="480"/>
      <c r="I141" s="480"/>
      <c r="J141" s="480"/>
      <c r="K141" s="480"/>
      <c r="L141" s="480"/>
      <c r="M141" s="480"/>
      <c r="N141" s="480"/>
    </row>
    <row r="142" spans="1:14" ht="16">
      <c r="A142" s="480"/>
      <c r="B142" s="201"/>
      <c r="C142" s="202"/>
      <c r="D142" s="499" t="s">
        <v>555</v>
      </c>
      <c r="E142" s="210"/>
      <c r="F142" s="480"/>
      <c r="G142" s="480"/>
      <c r="H142" s="480"/>
      <c r="I142" s="480"/>
      <c r="J142" s="480"/>
      <c r="K142" s="480"/>
      <c r="L142" s="480"/>
      <c r="M142" s="480"/>
      <c r="N142" s="480"/>
    </row>
    <row r="143" spans="1:14" ht="54.75" customHeight="1">
      <c r="A143" s="480"/>
      <c r="B143" s="201"/>
      <c r="C143" s="202"/>
      <c r="D143" s="487" t="s">
        <v>559</v>
      </c>
      <c r="E143" s="210"/>
      <c r="F143" s="480"/>
      <c r="G143" s="480"/>
      <c r="H143" s="480"/>
      <c r="I143" s="480"/>
      <c r="J143" s="480"/>
      <c r="K143" s="480"/>
      <c r="L143" s="480"/>
      <c r="M143" s="480"/>
      <c r="N143" s="480"/>
    </row>
    <row r="144" spans="1:14" ht="12" customHeight="1">
      <c r="A144" s="480"/>
      <c r="B144" s="201"/>
      <c r="C144" s="202"/>
      <c r="D144" s="487"/>
      <c r="E144" s="210"/>
      <c r="F144" s="480"/>
      <c r="G144" s="480"/>
      <c r="H144" s="480"/>
      <c r="I144" s="480"/>
      <c r="J144" s="480"/>
      <c r="K144" s="480"/>
      <c r="L144" s="480"/>
      <c r="M144" s="480"/>
      <c r="N144" s="480"/>
    </row>
    <row r="145" spans="1:14" ht="67.5" customHeight="1">
      <c r="A145" s="480"/>
      <c r="B145" s="201"/>
      <c r="C145" s="202"/>
      <c r="D145" s="487" t="s">
        <v>556</v>
      </c>
      <c r="E145" s="210"/>
      <c r="F145" s="480"/>
      <c r="G145" s="480"/>
      <c r="H145" s="480"/>
      <c r="I145" s="480"/>
      <c r="J145" s="480"/>
      <c r="K145" s="480"/>
      <c r="L145" s="480"/>
      <c r="M145" s="480"/>
      <c r="N145" s="480"/>
    </row>
    <row r="146" spans="1:14" ht="12" customHeight="1">
      <c r="A146" s="480"/>
      <c r="B146" s="201"/>
      <c r="C146" s="202"/>
      <c r="D146" s="487"/>
      <c r="E146" s="210"/>
      <c r="F146" s="480"/>
      <c r="G146" s="480"/>
      <c r="H146" s="480"/>
      <c r="I146" s="480"/>
      <c r="J146" s="480"/>
      <c r="K146" s="480"/>
      <c r="L146" s="480"/>
      <c r="M146" s="480"/>
      <c r="N146" s="480"/>
    </row>
    <row r="147" spans="1:14" ht="55.5" customHeight="1">
      <c r="A147" s="480"/>
      <c r="B147" s="201"/>
      <c r="C147" s="202"/>
      <c r="D147" s="487" t="s">
        <v>557</v>
      </c>
      <c r="E147" s="210"/>
      <c r="F147" s="480"/>
      <c r="G147" s="480"/>
      <c r="H147" s="480"/>
      <c r="I147" s="480"/>
      <c r="J147" s="480"/>
      <c r="K147" s="480"/>
      <c r="L147" s="480"/>
      <c r="M147" s="480"/>
      <c r="N147" s="480"/>
    </row>
    <row r="148" spans="1:14" ht="12" customHeight="1">
      <c r="A148" s="480"/>
      <c r="B148" s="201"/>
      <c r="C148" s="202"/>
      <c r="D148" s="487"/>
      <c r="E148" s="512" t="s">
        <v>565</v>
      </c>
      <c r="F148" s="480"/>
      <c r="G148" s="480"/>
      <c r="H148" s="480"/>
      <c r="I148" s="480"/>
      <c r="J148" s="480"/>
      <c r="K148" s="480"/>
      <c r="L148" s="480"/>
      <c r="M148" s="480"/>
      <c r="N148" s="480"/>
    </row>
    <row r="149" spans="1:14" ht="16">
      <c r="A149" s="480"/>
      <c r="B149" s="201"/>
      <c r="C149" s="202"/>
      <c r="D149" s="499" t="s">
        <v>558</v>
      </c>
      <c r="E149" s="210"/>
      <c r="F149" s="480"/>
      <c r="G149" s="480"/>
      <c r="H149" s="480"/>
      <c r="I149" s="480"/>
      <c r="J149" s="480"/>
      <c r="K149" s="480"/>
      <c r="L149" s="480"/>
      <c r="M149" s="480"/>
      <c r="N149" s="480"/>
    </row>
    <row r="150" spans="1:14" ht="29.25" customHeight="1">
      <c r="A150" s="480"/>
      <c r="B150" s="201"/>
      <c r="C150" s="202"/>
      <c r="D150" s="487" t="s">
        <v>560</v>
      </c>
      <c r="E150" s="210"/>
      <c r="F150" s="480"/>
      <c r="G150" s="480"/>
      <c r="H150" s="480"/>
      <c r="I150" s="480"/>
      <c r="J150" s="480"/>
      <c r="K150" s="480"/>
      <c r="L150" s="480"/>
      <c r="M150" s="480"/>
      <c r="N150" s="480"/>
    </row>
    <row r="151" spans="1:14" ht="12" customHeight="1">
      <c r="A151" s="480"/>
      <c r="B151" s="201"/>
      <c r="C151" s="202"/>
      <c r="D151" s="487"/>
      <c r="E151" s="210"/>
      <c r="F151" s="480"/>
      <c r="G151" s="480"/>
      <c r="H151" s="480"/>
      <c r="I151" s="480"/>
      <c r="J151" s="480"/>
      <c r="K151" s="480"/>
      <c r="L151" s="480"/>
      <c r="M151" s="480"/>
      <c r="N151" s="480"/>
    </row>
    <row r="152" spans="1:14" ht="94.5" customHeight="1">
      <c r="A152" s="480"/>
      <c r="B152" s="201"/>
      <c r="C152" s="202"/>
      <c r="D152" s="487" t="s">
        <v>561</v>
      </c>
      <c r="E152" s="210"/>
      <c r="F152" s="480"/>
      <c r="G152" s="480"/>
      <c r="H152" s="480"/>
      <c r="I152" s="480"/>
      <c r="J152" s="480"/>
      <c r="K152" s="480"/>
      <c r="L152" s="480"/>
      <c r="M152" s="480"/>
      <c r="N152" s="480"/>
    </row>
    <row r="153" spans="1:14" ht="12" customHeight="1">
      <c r="A153" s="480"/>
      <c r="B153" s="201"/>
      <c r="C153" s="202"/>
      <c r="D153" s="487"/>
      <c r="E153" s="512" t="s">
        <v>565</v>
      </c>
      <c r="F153" s="480"/>
      <c r="G153" s="480"/>
      <c r="H153" s="480"/>
      <c r="I153" s="480"/>
      <c r="J153" s="480"/>
      <c r="K153" s="480"/>
      <c r="L153" s="480"/>
      <c r="M153" s="480"/>
      <c r="N153" s="480"/>
    </row>
    <row r="154" spans="1:14" ht="15">
      <c r="A154" s="480"/>
      <c r="B154" s="201"/>
      <c r="C154" s="202"/>
      <c r="D154" s="495" t="s">
        <v>542</v>
      </c>
      <c r="E154" s="210"/>
      <c r="F154" s="480"/>
      <c r="G154" s="480"/>
      <c r="H154" s="480"/>
      <c r="I154" s="480"/>
      <c r="J154" s="480"/>
      <c r="K154" s="480"/>
      <c r="L154" s="480"/>
      <c r="M154" s="480"/>
      <c r="N154" s="480"/>
    </row>
    <row r="155" spans="1:14" ht="108" customHeight="1">
      <c r="A155" s="480"/>
      <c r="B155" s="201"/>
      <c r="C155" s="202"/>
      <c r="D155" s="487" t="s">
        <v>543</v>
      </c>
      <c r="E155" s="210"/>
      <c r="F155" s="480"/>
      <c r="G155" s="480"/>
      <c r="H155" s="480"/>
      <c r="I155" s="480"/>
      <c r="J155" s="480"/>
      <c r="K155" s="480"/>
      <c r="L155" s="480"/>
      <c r="M155" s="480"/>
      <c r="N155" s="480"/>
    </row>
    <row r="156" spans="1:14" ht="12" customHeight="1">
      <c r="A156" s="480"/>
      <c r="B156" s="201"/>
      <c r="C156" s="202"/>
      <c r="D156" s="487"/>
      <c r="E156" s="210"/>
      <c r="F156" s="480"/>
      <c r="G156" s="480"/>
      <c r="H156" s="480"/>
      <c r="I156" s="480"/>
      <c r="J156" s="480"/>
      <c r="K156" s="480"/>
      <c r="L156" s="480"/>
      <c r="M156" s="480"/>
      <c r="N156" s="480"/>
    </row>
    <row r="157" spans="1:14" ht="16">
      <c r="A157" s="480"/>
      <c r="B157" s="201"/>
      <c r="C157" s="509" t="s">
        <v>551</v>
      </c>
      <c r="D157" s="509"/>
      <c r="E157" s="512" t="s">
        <v>565</v>
      </c>
      <c r="F157" s="480"/>
      <c r="G157" s="480"/>
      <c r="H157" s="480"/>
      <c r="I157" s="480"/>
      <c r="J157" s="480"/>
      <c r="K157" s="480"/>
      <c r="L157" s="480"/>
      <c r="M157" s="480"/>
      <c r="N157" s="480"/>
    </row>
    <row r="158" spans="1:14" ht="81" customHeight="1">
      <c r="A158" s="480"/>
      <c r="B158" s="201"/>
      <c r="C158" s="2558" t="s">
        <v>212</v>
      </c>
      <c r="D158" s="2558"/>
      <c r="E158" s="210"/>
      <c r="F158" s="480"/>
      <c r="G158" s="480"/>
      <c r="H158" s="480"/>
      <c r="I158" s="480"/>
      <c r="J158" s="480"/>
      <c r="K158" s="480"/>
      <c r="L158" s="480"/>
      <c r="M158" s="480"/>
      <c r="N158" s="480"/>
    </row>
    <row r="159" spans="1:14" ht="12" customHeight="1">
      <c r="A159" s="480"/>
      <c r="B159" s="201"/>
      <c r="C159" s="202"/>
      <c r="D159" s="249"/>
      <c r="E159" s="210"/>
      <c r="F159" s="480"/>
      <c r="G159" s="480"/>
      <c r="H159" s="480"/>
      <c r="I159" s="480"/>
      <c r="J159" s="480"/>
      <c r="K159" s="480"/>
      <c r="L159" s="480"/>
      <c r="M159" s="480"/>
      <c r="N159" s="480"/>
    </row>
    <row r="160" spans="1:14">
      <c r="A160" s="480"/>
      <c r="B160" s="201"/>
      <c r="C160" s="2558" t="s">
        <v>540</v>
      </c>
      <c r="D160" s="2558"/>
      <c r="E160" s="210"/>
      <c r="F160" s="480"/>
      <c r="G160" s="480"/>
      <c r="H160" s="480"/>
      <c r="I160" s="480"/>
      <c r="J160" s="480"/>
      <c r="K160" s="480"/>
      <c r="L160" s="480"/>
      <c r="M160" s="480"/>
      <c r="N160" s="480"/>
    </row>
    <row r="161" spans="1:14" ht="12" customHeight="1">
      <c r="A161" s="480"/>
      <c r="B161" s="201"/>
      <c r="C161" s="202"/>
      <c r="D161" s="487"/>
      <c r="E161" s="210"/>
      <c r="F161" s="480"/>
      <c r="G161" s="480"/>
      <c r="H161" s="480"/>
      <c r="I161" s="480"/>
      <c r="J161" s="480"/>
      <c r="K161" s="480"/>
      <c r="L161" s="480"/>
      <c r="M161" s="480"/>
      <c r="N161" s="480"/>
    </row>
    <row r="162" spans="1:14" ht="95" customHeight="1">
      <c r="A162" s="480"/>
      <c r="B162" s="201"/>
      <c r="C162" s="2558" t="s">
        <v>541</v>
      </c>
      <c r="D162" s="2558"/>
      <c r="E162" s="210"/>
      <c r="F162" s="480"/>
      <c r="G162" s="480"/>
      <c r="H162" s="480"/>
      <c r="I162" s="480"/>
      <c r="J162" s="480"/>
      <c r="K162" s="480"/>
      <c r="L162" s="480"/>
      <c r="M162" s="480"/>
      <c r="N162" s="480"/>
    </row>
    <row r="163" spans="1:14" ht="12" customHeight="1">
      <c r="A163" s="480"/>
      <c r="B163" s="201"/>
      <c r="C163" s="202"/>
      <c r="D163" s="487"/>
      <c r="E163" s="210"/>
      <c r="F163" s="480"/>
      <c r="G163" s="480"/>
      <c r="H163" s="480"/>
      <c r="I163" s="480"/>
      <c r="J163" s="480"/>
      <c r="K163" s="480"/>
      <c r="L163" s="480"/>
      <c r="M163" s="480"/>
      <c r="N163" s="480"/>
    </row>
    <row r="164" spans="1:14" ht="15.75" customHeight="1">
      <c r="A164" s="480"/>
      <c r="B164" s="201"/>
      <c r="C164" s="509" t="s">
        <v>562</v>
      </c>
      <c r="D164" s="509"/>
      <c r="E164" s="512" t="s">
        <v>565</v>
      </c>
      <c r="F164" s="480"/>
      <c r="G164" s="480"/>
      <c r="H164" s="480"/>
      <c r="I164" s="480"/>
      <c r="J164" s="480"/>
      <c r="K164" s="480"/>
      <c r="L164" s="480"/>
      <c r="M164" s="480"/>
      <c r="N164" s="480"/>
    </row>
    <row r="165" spans="1:14" ht="42.75" customHeight="1">
      <c r="A165" s="480"/>
      <c r="B165" s="201"/>
      <c r="C165" s="2558" t="s">
        <v>552</v>
      </c>
      <c r="D165" s="2558"/>
      <c r="E165" s="210"/>
      <c r="F165" s="480"/>
      <c r="G165" s="480"/>
      <c r="H165" s="480"/>
      <c r="I165" s="480"/>
      <c r="J165" s="480"/>
      <c r="K165" s="480"/>
      <c r="L165" s="480"/>
      <c r="M165" s="480"/>
      <c r="N165" s="480"/>
    </row>
    <row r="166" spans="1:14" ht="12" customHeight="1">
      <c r="A166" s="480"/>
      <c r="B166" s="201"/>
      <c r="C166" s="202"/>
      <c r="D166" s="487"/>
      <c r="E166" s="210"/>
      <c r="F166" s="480"/>
      <c r="G166" s="480"/>
      <c r="H166" s="480"/>
      <c r="I166" s="480"/>
      <c r="J166" s="480"/>
      <c r="K166" s="480"/>
      <c r="L166" s="480"/>
      <c r="M166" s="480"/>
      <c r="N166" s="480"/>
    </row>
    <row r="167" spans="1:14" ht="71.5" customHeight="1">
      <c r="A167" s="480"/>
      <c r="B167" s="201"/>
      <c r="C167" s="2558" t="s">
        <v>553</v>
      </c>
      <c r="D167" s="2558"/>
      <c r="E167" s="210"/>
      <c r="F167" s="480"/>
      <c r="G167" s="480"/>
      <c r="H167" s="480"/>
      <c r="I167" s="480"/>
      <c r="J167" s="480"/>
      <c r="K167" s="480"/>
      <c r="L167" s="480"/>
      <c r="M167" s="480"/>
      <c r="N167" s="480"/>
    </row>
    <row r="168" spans="1:14" ht="12" customHeight="1">
      <c r="A168" s="480"/>
      <c r="B168" s="201"/>
      <c r="C168" s="202"/>
      <c r="D168" s="487"/>
      <c r="E168" s="210"/>
      <c r="F168" s="480"/>
      <c r="G168" s="480"/>
      <c r="H168" s="480"/>
      <c r="I168" s="480"/>
      <c r="J168" s="480"/>
      <c r="K168" s="480"/>
      <c r="L168" s="480"/>
      <c r="M168" s="480"/>
      <c r="N168" s="480"/>
    </row>
    <row r="169" spans="1:14" ht="15" customHeight="1">
      <c r="A169" s="480"/>
      <c r="B169" s="201"/>
      <c r="C169" s="509" t="s">
        <v>221</v>
      </c>
      <c r="D169" s="509"/>
      <c r="E169" s="512" t="s">
        <v>565</v>
      </c>
      <c r="F169" s="480"/>
      <c r="G169" s="480"/>
      <c r="H169" s="480"/>
      <c r="I169" s="480"/>
      <c r="J169" s="480"/>
      <c r="K169" s="480"/>
      <c r="L169" s="480"/>
      <c r="M169" s="480"/>
      <c r="N169" s="480"/>
    </row>
    <row r="170" spans="1:14" ht="43.25" customHeight="1">
      <c r="A170" s="480"/>
      <c r="B170" s="201"/>
      <c r="C170" s="2558" t="s">
        <v>7</v>
      </c>
      <c r="D170" s="2558"/>
      <c r="E170" s="109"/>
      <c r="F170" s="480"/>
      <c r="G170" s="480"/>
      <c r="H170" s="480"/>
      <c r="I170" s="480"/>
      <c r="J170" s="480"/>
      <c r="K170" s="480"/>
      <c r="L170" s="480"/>
      <c r="M170" s="480"/>
      <c r="N170" s="480"/>
    </row>
    <row r="171" spans="1:14" ht="12" customHeight="1">
      <c r="A171" s="480"/>
      <c r="B171" s="201"/>
      <c r="C171" s="202"/>
      <c r="D171" s="487"/>
      <c r="E171" s="210"/>
      <c r="F171" s="480"/>
      <c r="G171" s="480"/>
      <c r="H171" s="480"/>
      <c r="I171" s="480"/>
      <c r="J171" s="480"/>
      <c r="K171" s="480"/>
      <c r="L171" s="480"/>
      <c r="M171" s="480"/>
      <c r="N171" s="480"/>
    </row>
    <row r="172" spans="1:14" ht="16">
      <c r="A172" s="480"/>
      <c r="B172" s="201"/>
      <c r="C172" s="509" t="s">
        <v>563</v>
      </c>
      <c r="D172" s="509"/>
      <c r="E172" s="512" t="s">
        <v>565</v>
      </c>
      <c r="F172" s="480"/>
      <c r="G172" s="480"/>
      <c r="H172" s="480"/>
      <c r="I172" s="480"/>
      <c r="J172" s="480"/>
      <c r="K172" s="480"/>
      <c r="L172" s="480"/>
      <c r="M172" s="480"/>
      <c r="N172" s="480"/>
    </row>
    <row r="173" spans="1:14" ht="29.25" customHeight="1">
      <c r="A173" s="480"/>
      <c r="B173" s="201"/>
      <c r="C173" s="2558" t="s">
        <v>224</v>
      </c>
      <c r="D173" s="2558"/>
      <c r="E173" s="210"/>
      <c r="F173" s="480"/>
      <c r="G173" s="480"/>
      <c r="H173" s="480"/>
      <c r="I173" s="480"/>
      <c r="J173" s="480"/>
      <c r="K173" s="480"/>
      <c r="L173" s="480"/>
      <c r="M173" s="480"/>
      <c r="N173" s="480"/>
    </row>
    <row r="174" spans="1:14" ht="15" thickBot="1">
      <c r="A174" s="480"/>
      <c r="B174" s="204"/>
      <c r="C174" s="276"/>
      <c r="D174" s="494"/>
      <c r="E174" s="253"/>
      <c r="F174" s="480"/>
      <c r="G174" s="480"/>
      <c r="H174" s="480"/>
      <c r="I174" s="480"/>
      <c r="J174" s="480"/>
      <c r="K174" s="480"/>
      <c r="L174" s="480"/>
      <c r="M174" s="480"/>
      <c r="N174" s="480"/>
    </row>
    <row r="175" spans="1:14">
      <c r="A175" s="480"/>
      <c r="B175" s="480"/>
      <c r="C175" s="480"/>
      <c r="D175" s="485"/>
      <c r="E175" s="480"/>
      <c r="F175" s="480"/>
      <c r="G175" s="480"/>
      <c r="H175" s="480"/>
      <c r="I175" s="480"/>
      <c r="J175" s="480"/>
      <c r="K175" s="480"/>
      <c r="L175" s="480"/>
      <c r="M175" s="480"/>
      <c r="N175" s="480"/>
    </row>
    <row r="176" spans="1:14">
      <c r="A176" s="480"/>
      <c r="B176" s="480"/>
      <c r="C176" s="480"/>
      <c r="D176" s="485"/>
      <c r="E176" s="480"/>
      <c r="F176" s="480"/>
      <c r="G176" s="480"/>
      <c r="H176" s="480"/>
      <c r="I176" s="480"/>
      <c r="J176" s="480"/>
      <c r="K176" s="480"/>
      <c r="L176" s="480"/>
      <c r="M176" s="480"/>
      <c r="N176" s="480"/>
    </row>
    <row r="177" spans="1:14">
      <c r="A177" s="480"/>
      <c r="B177" s="480"/>
      <c r="C177" s="480"/>
      <c r="D177" s="482"/>
      <c r="E177" s="480"/>
      <c r="F177" s="480"/>
      <c r="G177" s="480"/>
      <c r="H177" s="480"/>
      <c r="I177" s="480"/>
      <c r="J177" s="480"/>
      <c r="K177" s="480"/>
      <c r="L177" s="480"/>
      <c r="M177" s="480"/>
      <c r="N177" s="480"/>
    </row>
    <row r="178" spans="1:14">
      <c r="A178" s="480"/>
      <c r="B178" s="480"/>
      <c r="C178" s="480"/>
      <c r="D178" s="482"/>
      <c r="E178" s="480"/>
      <c r="F178" s="480"/>
      <c r="G178" s="480"/>
      <c r="H178" s="480"/>
      <c r="I178" s="480"/>
      <c r="J178" s="480"/>
      <c r="K178" s="480"/>
      <c r="L178" s="480"/>
      <c r="M178" s="480"/>
      <c r="N178" s="480"/>
    </row>
    <row r="179" spans="1:14">
      <c r="A179" s="480"/>
      <c r="B179" s="480"/>
      <c r="C179" s="480"/>
      <c r="D179" s="482"/>
      <c r="E179" s="480"/>
      <c r="F179" s="480"/>
      <c r="G179" s="480"/>
      <c r="H179" s="480"/>
      <c r="I179" s="480"/>
      <c r="J179" s="480"/>
      <c r="K179" s="480"/>
      <c r="L179" s="480"/>
      <c r="M179" s="480"/>
      <c r="N179" s="480"/>
    </row>
    <row r="180" spans="1:14">
      <c r="A180" s="480"/>
      <c r="B180" s="480"/>
      <c r="C180" s="480"/>
      <c r="D180" s="482"/>
      <c r="E180" s="480"/>
      <c r="F180" s="480"/>
      <c r="G180" s="480"/>
      <c r="H180" s="480"/>
      <c r="I180" s="480"/>
      <c r="J180" s="480"/>
      <c r="K180" s="480"/>
      <c r="L180" s="480"/>
      <c r="M180" s="480"/>
      <c r="N180" s="480"/>
    </row>
    <row r="181" spans="1:14">
      <c r="A181" s="480"/>
      <c r="B181" s="480"/>
      <c r="C181" s="480"/>
      <c r="D181" s="482"/>
      <c r="E181" s="480"/>
      <c r="F181" s="480"/>
      <c r="G181" s="480"/>
      <c r="H181" s="480"/>
      <c r="I181" s="480"/>
      <c r="J181" s="480"/>
      <c r="K181" s="480"/>
      <c r="L181" s="480"/>
      <c r="M181" s="480"/>
      <c r="N181" s="480"/>
    </row>
    <row r="182" spans="1:14">
      <c r="A182" s="480"/>
      <c r="B182" s="480"/>
      <c r="C182" s="480"/>
      <c r="D182" s="482"/>
      <c r="E182" s="480"/>
      <c r="F182" s="480"/>
      <c r="G182" s="480"/>
      <c r="H182" s="480"/>
      <c r="I182" s="480"/>
      <c r="J182" s="480"/>
      <c r="K182" s="480"/>
      <c r="L182" s="480"/>
      <c r="M182" s="480"/>
      <c r="N182" s="480"/>
    </row>
    <row r="183" spans="1:14">
      <c r="A183" s="480"/>
      <c r="B183" s="480"/>
      <c r="C183" s="480"/>
      <c r="D183" s="482"/>
      <c r="E183" s="480"/>
      <c r="F183" s="480"/>
      <c r="G183" s="480"/>
      <c r="H183" s="480"/>
      <c r="I183" s="480"/>
      <c r="J183" s="480"/>
      <c r="K183" s="480"/>
      <c r="L183" s="480"/>
      <c r="M183" s="480"/>
      <c r="N183" s="480"/>
    </row>
    <row r="184" spans="1:14">
      <c r="A184" s="480"/>
      <c r="B184" s="480"/>
      <c r="C184" s="480"/>
      <c r="D184" s="482"/>
      <c r="E184" s="480"/>
      <c r="F184" s="480"/>
      <c r="G184" s="480"/>
      <c r="H184" s="480"/>
      <c r="I184" s="480"/>
      <c r="J184" s="480"/>
      <c r="K184" s="480"/>
      <c r="L184" s="480"/>
      <c r="M184" s="480"/>
      <c r="N184" s="480"/>
    </row>
    <row r="185" spans="1:14">
      <c r="A185" s="480"/>
      <c r="B185" s="480"/>
      <c r="C185" s="480"/>
      <c r="D185" s="482"/>
      <c r="E185" s="480"/>
      <c r="F185" s="480"/>
      <c r="G185" s="480"/>
      <c r="H185" s="480"/>
      <c r="I185" s="480"/>
      <c r="J185" s="480"/>
      <c r="K185" s="480"/>
      <c r="L185" s="480"/>
      <c r="M185" s="480"/>
      <c r="N185" s="480"/>
    </row>
    <row r="186" spans="1:14">
      <c r="A186" s="480"/>
      <c r="B186" s="480"/>
      <c r="C186" s="480"/>
      <c r="D186" s="482"/>
      <c r="E186" s="480"/>
      <c r="F186" s="480"/>
      <c r="G186" s="480"/>
      <c r="H186" s="480"/>
      <c r="I186" s="480"/>
      <c r="J186" s="480"/>
      <c r="K186" s="480"/>
      <c r="L186" s="480"/>
      <c r="M186" s="480"/>
      <c r="N186" s="480"/>
    </row>
    <row r="187" spans="1:14">
      <c r="A187" s="480"/>
      <c r="B187" s="480"/>
      <c r="C187" s="480"/>
      <c r="D187" s="482"/>
      <c r="E187" s="480"/>
      <c r="F187" s="480"/>
      <c r="G187" s="480"/>
      <c r="H187" s="480"/>
      <c r="I187" s="480"/>
      <c r="J187" s="480"/>
      <c r="K187" s="480"/>
      <c r="L187" s="480"/>
      <c r="M187" s="480"/>
      <c r="N187" s="480"/>
    </row>
    <row r="188" spans="1:14">
      <c r="A188" s="480"/>
      <c r="B188" s="480"/>
      <c r="C188" s="480"/>
      <c r="D188" s="482"/>
      <c r="E188" s="480"/>
      <c r="F188" s="480"/>
      <c r="G188" s="480"/>
      <c r="H188" s="480"/>
      <c r="I188" s="480"/>
      <c r="J188" s="480"/>
      <c r="K188" s="480"/>
      <c r="L188" s="480"/>
      <c r="M188" s="480"/>
      <c r="N188" s="480"/>
    </row>
    <row r="189" spans="1:14">
      <c r="A189" s="480"/>
      <c r="B189" s="480"/>
      <c r="C189" s="480"/>
      <c r="D189" s="482"/>
      <c r="E189" s="480"/>
      <c r="F189" s="480"/>
      <c r="G189" s="480"/>
      <c r="H189" s="480"/>
      <c r="I189" s="480"/>
      <c r="J189" s="480"/>
      <c r="K189" s="480"/>
      <c r="L189" s="480"/>
      <c r="M189" s="480"/>
      <c r="N189" s="480"/>
    </row>
    <row r="190" spans="1:14">
      <c r="A190" s="480"/>
      <c r="B190" s="480"/>
      <c r="C190" s="480"/>
      <c r="D190" s="482"/>
      <c r="E190" s="480"/>
      <c r="F190" s="480"/>
      <c r="G190" s="480"/>
      <c r="H190" s="480"/>
      <c r="I190" s="480"/>
      <c r="J190" s="480"/>
      <c r="K190" s="480"/>
      <c r="L190" s="480"/>
      <c r="M190" s="480"/>
      <c r="N190" s="480"/>
    </row>
    <row r="191" spans="1:14">
      <c r="A191" s="480"/>
      <c r="B191" s="480"/>
      <c r="C191" s="480"/>
      <c r="D191" s="482"/>
      <c r="E191" s="480"/>
      <c r="F191" s="480"/>
      <c r="G191" s="480"/>
      <c r="H191" s="480"/>
      <c r="I191" s="480"/>
      <c r="J191" s="480"/>
      <c r="K191" s="480"/>
      <c r="L191" s="480"/>
      <c r="M191" s="480"/>
      <c r="N191" s="480"/>
    </row>
    <row r="192" spans="1:14">
      <c r="A192" s="480"/>
      <c r="B192" s="480"/>
      <c r="C192" s="480"/>
      <c r="D192" s="482"/>
      <c r="E192" s="480"/>
      <c r="F192" s="480"/>
      <c r="G192" s="480"/>
      <c r="H192" s="480"/>
      <c r="I192" s="480"/>
      <c r="J192" s="480"/>
      <c r="K192" s="480"/>
      <c r="L192" s="480"/>
      <c r="M192" s="480"/>
      <c r="N192" s="480"/>
    </row>
    <row r="193" spans="1:14">
      <c r="A193" s="480"/>
      <c r="B193" s="480"/>
      <c r="C193" s="480"/>
      <c r="D193" s="482"/>
      <c r="E193" s="480"/>
      <c r="F193" s="480"/>
      <c r="G193" s="480"/>
      <c r="H193" s="480"/>
      <c r="I193" s="480"/>
      <c r="J193" s="480"/>
      <c r="K193" s="480"/>
      <c r="L193" s="480"/>
      <c r="M193" s="480"/>
      <c r="N193" s="480"/>
    </row>
    <row r="194" spans="1:14">
      <c r="A194" s="480"/>
      <c r="B194" s="480"/>
      <c r="C194" s="480"/>
      <c r="D194" s="482"/>
      <c r="E194" s="480"/>
      <c r="F194" s="480"/>
      <c r="G194" s="480"/>
      <c r="H194" s="480"/>
      <c r="I194" s="480"/>
      <c r="J194" s="480"/>
      <c r="K194" s="480"/>
      <c r="L194" s="480"/>
      <c r="M194" s="480"/>
      <c r="N194" s="480"/>
    </row>
    <row r="195" spans="1:14">
      <c r="A195" s="480"/>
      <c r="B195" s="480"/>
      <c r="C195" s="480"/>
      <c r="D195" s="482"/>
      <c r="E195" s="480"/>
      <c r="F195" s="480"/>
      <c r="G195" s="480"/>
      <c r="H195" s="480"/>
      <c r="I195" s="480"/>
      <c r="J195" s="480"/>
      <c r="K195" s="480"/>
      <c r="L195" s="480"/>
      <c r="M195" s="480"/>
      <c r="N195" s="480"/>
    </row>
    <row r="196" spans="1:14">
      <c r="A196" s="480"/>
      <c r="B196" s="480"/>
      <c r="C196" s="480"/>
      <c r="D196" s="482"/>
      <c r="E196" s="480"/>
      <c r="F196" s="480"/>
      <c r="G196" s="480"/>
      <c r="H196" s="480"/>
      <c r="I196" s="480"/>
      <c r="J196" s="480"/>
      <c r="K196" s="480"/>
      <c r="L196" s="480"/>
      <c r="M196" s="480"/>
      <c r="N196" s="480"/>
    </row>
    <row r="197" spans="1:14">
      <c r="A197" s="480"/>
      <c r="B197" s="480"/>
      <c r="C197" s="480"/>
      <c r="D197" s="482"/>
      <c r="E197" s="480"/>
      <c r="F197" s="480"/>
      <c r="G197" s="480"/>
      <c r="H197" s="480"/>
      <c r="I197" s="480"/>
      <c r="J197" s="480"/>
      <c r="K197" s="480"/>
      <c r="L197" s="480"/>
      <c r="M197" s="480"/>
      <c r="N197" s="480"/>
    </row>
    <row r="198" spans="1:14">
      <c r="A198" s="480"/>
      <c r="B198" s="480"/>
      <c r="C198" s="480"/>
      <c r="D198" s="482"/>
      <c r="E198" s="480"/>
      <c r="F198" s="480"/>
      <c r="G198" s="480"/>
      <c r="H198" s="480"/>
      <c r="I198" s="480"/>
      <c r="J198" s="480"/>
      <c r="K198" s="480"/>
      <c r="L198" s="480"/>
      <c r="M198" s="480"/>
      <c r="N198" s="480"/>
    </row>
    <row r="199" spans="1:14">
      <c r="A199" s="480"/>
      <c r="B199" s="480"/>
      <c r="C199" s="480"/>
      <c r="D199" s="482"/>
      <c r="E199" s="480"/>
      <c r="F199" s="480"/>
      <c r="G199" s="480"/>
      <c r="H199" s="480"/>
      <c r="I199" s="480"/>
      <c r="J199" s="480"/>
      <c r="K199" s="480"/>
      <c r="L199" s="480"/>
      <c r="M199" s="480"/>
      <c r="N199" s="480"/>
    </row>
    <row r="200" spans="1:14">
      <c r="A200" s="480"/>
      <c r="B200" s="480"/>
      <c r="C200" s="480"/>
      <c r="D200" s="482"/>
      <c r="E200" s="480"/>
      <c r="F200" s="480"/>
      <c r="G200" s="480"/>
      <c r="H200" s="480"/>
      <c r="I200" s="480"/>
      <c r="J200" s="480"/>
      <c r="K200" s="480"/>
      <c r="L200" s="480"/>
      <c r="M200" s="480"/>
      <c r="N200" s="480"/>
    </row>
    <row r="201" spans="1:14">
      <c r="A201" s="480"/>
      <c r="B201" s="480"/>
      <c r="C201" s="480"/>
      <c r="D201" s="482"/>
      <c r="E201" s="480"/>
      <c r="F201" s="480"/>
      <c r="G201" s="480"/>
      <c r="H201" s="480"/>
      <c r="I201" s="480"/>
      <c r="J201" s="480"/>
      <c r="K201" s="480"/>
      <c r="L201" s="480"/>
      <c r="M201" s="480"/>
      <c r="N201" s="480"/>
    </row>
    <row r="202" spans="1:14">
      <c r="A202" s="480"/>
      <c r="B202" s="480"/>
      <c r="C202" s="480"/>
      <c r="D202" s="482"/>
      <c r="E202" s="480"/>
      <c r="F202" s="480"/>
      <c r="G202" s="480"/>
      <c r="H202" s="480"/>
      <c r="I202" s="480"/>
      <c r="J202" s="480"/>
      <c r="K202" s="480"/>
      <c r="L202" s="480"/>
      <c r="M202" s="480"/>
      <c r="N202" s="480"/>
    </row>
    <row r="203" spans="1:14">
      <c r="A203" s="480"/>
      <c r="B203" s="480"/>
      <c r="C203" s="480"/>
      <c r="D203" s="482"/>
      <c r="E203" s="480"/>
      <c r="F203" s="480"/>
      <c r="G203" s="480"/>
      <c r="H203" s="480"/>
      <c r="I203" s="480"/>
      <c r="J203" s="480"/>
      <c r="K203" s="480"/>
      <c r="L203" s="480"/>
      <c r="M203" s="480"/>
      <c r="N203" s="480"/>
    </row>
    <row r="204" spans="1:14">
      <c r="A204" s="480"/>
      <c r="B204" s="480"/>
      <c r="C204" s="480"/>
      <c r="D204" s="482"/>
      <c r="E204" s="480"/>
      <c r="F204" s="480"/>
      <c r="G204" s="480"/>
      <c r="H204" s="480"/>
      <c r="I204" s="480"/>
      <c r="J204" s="480"/>
      <c r="K204" s="480"/>
      <c r="L204" s="480"/>
      <c r="M204" s="480"/>
      <c r="N204" s="480"/>
    </row>
    <row r="205" spans="1:14">
      <c r="D205" s="35"/>
    </row>
    <row r="206" spans="1:14">
      <c r="D206" s="35"/>
    </row>
    <row r="207" spans="1:14">
      <c r="D207" s="35"/>
    </row>
    <row r="208" spans="1:14">
      <c r="D208" s="35"/>
    </row>
    <row r="209" spans="4:4">
      <c r="D209" s="35"/>
    </row>
    <row r="210" spans="4:4">
      <c r="D210" s="35"/>
    </row>
    <row r="211" spans="4:4">
      <c r="D211" s="35"/>
    </row>
    <row r="212" spans="4:4">
      <c r="D212" s="35"/>
    </row>
    <row r="213" spans="4:4">
      <c r="D213" s="35"/>
    </row>
    <row r="214" spans="4:4">
      <c r="D214" s="35"/>
    </row>
    <row r="215" spans="4:4">
      <c r="D215" s="35"/>
    </row>
    <row r="216" spans="4:4">
      <c r="D216" s="35"/>
    </row>
    <row r="217" spans="4:4">
      <c r="D217" s="35"/>
    </row>
    <row r="218" spans="4:4">
      <c r="D218" s="35"/>
    </row>
    <row r="219" spans="4:4">
      <c r="D219" s="35"/>
    </row>
    <row r="220" spans="4:4">
      <c r="D220" s="35"/>
    </row>
    <row r="221" spans="4:4">
      <c r="D221" s="35"/>
    </row>
    <row r="222" spans="4:4">
      <c r="D222" s="35"/>
    </row>
    <row r="223" spans="4:4">
      <c r="D223" s="35"/>
    </row>
    <row r="224" spans="4:4">
      <c r="D224" s="35"/>
    </row>
    <row r="225" spans="4:4">
      <c r="D225" s="35"/>
    </row>
    <row r="226" spans="4:4">
      <c r="D226" s="35"/>
    </row>
    <row r="227" spans="4:4">
      <c r="D227" s="35"/>
    </row>
    <row r="228" spans="4:4">
      <c r="D228" s="35"/>
    </row>
    <row r="229" spans="4:4">
      <c r="D229" s="35"/>
    </row>
    <row r="230" spans="4:4">
      <c r="D230" s="35"/>
    </row>
    <row r="231" spans="4:4">
      <c r="D231" s="35"/>
    </row>
    <row r="232" spans="4:4">
      <c r="D232" s="35"/>
    </row>
    <row r="233" spans="4:4">
      <c r="D233" s="35"/>
    </row>
    <row r="234" spans="4:4">
      <c r="D234" s="35"/>
    </row>
    <row r="235" spans="4:4">
      <c r="D235" s="35"/>
    </row>
    <row r="236" spans="4:4">
      <c r="D236" s="35"/>
    </row>
    <row r="237" spans="4:4">
      <c r="D237" s="35"/>
    </row>
    <row r="238" spans="4:4">
      <c r="D238" s="35"/>
    </row>
    <row r="239" spans="4:4">
      <c r="D239" s="35"/>
    </row>
    <row r="240" spans="4:4">
      <c r="D240" s="35"/>
    </row>
    <row r="241" spans="4:4">
      <c r="D241" s="35"/>
    </row>
    <row r="242" spans="4:4">
      <c r="D242" s="35"/>
    </row>
    <row r="243" spans="4:4">
      <c r="D243" s="35"/>
    </row>
    <row r="244" spans="4:4">
      <c r="D244" s="35"/>
    </row>
    <row r="245" spans="4:4">
      <c r="D245" s="35"/>
    </row>
    <row r="246" spans="4:4">
      <c r="D246" s="35"/>
    </row>
    <row r="247" spans="4:4">
      <c r="D247" s="35"/>
    </row>
    <row r="248" spans="4:4">
      <c r="D248" s="35"/>
    </row>
    <row r="249" spans="4:4">
      <c r="D249" s="35"/>
    </row>
    <row r="250" spans="4:4">
      <c r="D250" s="35"/>
    </row>
    <row r="251" spans="4:4">
      <c r="D251" s="35"/>
    </row>
    <row r="252" spans="4:4">
      <c r="D252" s="35"/>
    </row>
    <row r="253" spans="4:4">
      <c r="D253" s="35"/>
    </row>
    <row r="254" spans="4:4">
      <c r="D254" s="35"/>
    </row>
    <row r="255" spans="4:4">
      <c r="D255" s="35"/>
    </row>
    <row r="256" spans="4:4">
      <c r="D256" s="35"/>
    </row>
    <row r="257" spans="4:4">
      <c r="D257" s="35"/>
    </row>
    <row r="258" spans="4:4">
      <c r="D258" s="35"/>
    </row>
    <row r="259" spans="4:4">
      <c r="D259" s="35"/>
    </row>
    <row r="260" spans="4:4">
      <c r="D260" s="35"/>
    </row>
  </sheetData>
  <mergeCells count="32">
    <mergeCell ref="C50:D50"/>
    <mergeCell ref="C78:D78"/>
    <mergeCell ref="C80:D80"/>
    <mergeCell ref="C36:D36"/>
    <mergeCell ref="C43:D43"/>
    <mergeCell ref="C38:D38"/>
    <mergeCell ref="C40:D40"/>
    <mergeCell ref="C41:D41"/>
    <mergeCell ref="C42:D42"/>
    <mergeCell ref="C61:D61"/>
    <mergeCell ref="C64:D64"/>
    <mergeCell ref="C51:D51"/>
    <mergeCell ref="C53:D53"/>
    <mergeCell ref="C54:D54"/>
    <mergeCell ref="C57:D57"/>
    <mergeCell ref="C59:D59"/>
    <mergeCell ref="C170:D170"/>
    <mergeCell ref="C173:D173"/>
    <mergeCell ref="C19:D19"/>
    <mergeCell ref="C20:D20"/>
    <mergeCell ref="C21:D21"/>
    <mergeCell ref="C22:D22"/>
    <mergeCell ref="C30:D30"/>
    <mergeCell ref="C31:D31"/>
    <mergeCell ref="C32:D32"/>
    <mergeCell ref="C160:D160"/>
    <mergeCell ref="C162:D162"/>
    <mergeCell ref="C165:D165"/>
    <mergeCell ref="C167:D167"/>
    <mergeCell ref="C83:D83"/>
    <mergeCell ref="C90:D90"/>
    <mergeCell ref="C158:D158"/>
  </mergeCells>
  <phoneticPr fontId="26" type="noConversion"/>
  <hyperlinks>
    <hyperlink ref="C17" location="Introduction" display="Introduction" xr:uid="{00000000-0004-0000-0700-000000000000}"/>
    <hyperlink ref="C18" location="AdvDisAdv" display="Advantages and Disadvantages" xr:uid="{00000000-0004-0000-0700-000001000000}"/>
    <hyperlink ref="C19:D19" location="EnteringData" display="Entering Data" xr:uid="{00000000-0004-0000-0700-000002000000}"/>
    <hyperlink ref="C20:D20" location="Printing" display="Printing Worksheets" xr:uid="{00000000-0004-0000-0700-000003000000}"/>
    <hyperlink ref="C21:D21" location="Saving" display="Saving Data" xr:uid="{00000000-0004-0000-0700-000004000000}"/>
    <hyperlink ref="C22:D22" location="LivestockSheet" display="Livestock Forage Balance Worksheet" xr:uid="{00000000-0004-0000-0700-000005000000}"/>
    <hyperlink ref="D23" location="LivestockNeeds" display="Livestock Needs and Demand Schedule" xr:uid="{00000000-0004-0000-0700-000006000000}"/>
    <hyperlink ref="D24" location="ForageProduction" display="Grazing System Pasture Forage Production" xr:uid="{00000000-0004-0000-0700-000007000000}"/>
    <hyperlink ref="D25" location="AltProduction" display="Alternative Pasture Forage Production" xr:uid="{00000000-0004-0000-0700-000008000000}"/>
    <hyperlink ref="D26" location="HayProd" display="Hay Production and Inventory for Fields Hayed, Silage, Haylage Only" xr:uid="{00000000-0004-0000-0700-000009000000}"/>
    <hyperlink ref="D27" location="Summary" display="Summary of Livestock Needs and Pasture Forage Production" xr:uid="{00000000-0004-0000-0700-00000A000000}"/>
    <hyperlink ref="D28" location="SummaryFeed" display="Summary: Feed and Forage Balance" xr:uid="{00000000-0004-0000-0700-00000B000000}"/>
    <hyperlink ref="D29" location="Graph" display="Graph on Availability Versus Needs, by Month" xr:uid="{00000000-0004-0000-0700-00000C000000}"/>
    <hyperlink ref="C30:D30" location="TimeControl" display="Time Control Grazing Worksheet " xr:uid="{00000000-0004-0000-0700-00000D000000}"/>
    <hyperlink ref="C31:D31" location="Field" display="Field Worksheet" xr:uid="{00000000-0004-0000-0700-00000E000000}"/>
    <hyperlink ref="C32:D32" location="Landowner" display="Explanation Sheet for Landowner Worksheet" xr:uid="{00000000-0004-0000-0700-00000F000000}"/>
    <hyperlink ref="E35" location="Contents" display="Back to top" xr:uid="{00000000-0004-0000-0700-000010000000}"/>
    <hyperlink ref="E56" location="Contents" display="Back to top" xr:uid="{00000000-0004-0000-0700-000011000000}"/>
    <hyperlink ref="E63" location="Contents" display="Back to top" xr:uid="{00000000-0004-0000-0700-000012000000}"/>
    <hyperlink ref="E77" location="Contents" display="Back to top" xr:uid="{00000000-0004-0000-0700-000013000000}"/>
    <hyperlink ref="E82" location="Contents" display="Back to top" xr:uid="{00000000-0004-0000-0700-000014000000}"/>
    <hyperlink ref="E89" location="Contents" display="Back to top" xr:uid="{00000000-0004-0000-0700-000015000000}"/>
    <hyperlink ref="E91" location="Contents" display="Back to top" xr:uid="{00000000-0004-0000-0700-000016000000}"/>
    <hyperlink ref="E108" location="Contents" display="Back to top" xr:uid="{00000000-0004-0000-0700-000017000000}"/>
    <hyperlink ref="E131" location="Contents" display="Back to top" xr:uid="{00000000-0004-0000-0700-000018000000}"/>
    <hyperlink ref="E136" location="Contents" display="Back to top" xr:uid="{00000000-0004-0000-0700-000019000000}"/>
    <hyperlink ref="E141" location="Contents" display="Back to top" xr:uid="{00000000-0004-0000-0700-00001A000000}"/>
    <hyperlink ref="E148" location="Contents" display="Back to top" xr:uid="{00000000-0004-0000-0700-00001B000000}"/>
    <hyperlink ref="E153" location="Contents" display="Back to top" xr:uid="{00000000-0004-0000-0700-00001C000000}"/>
    <hyperlink ref="E157" location="Contents" display="Back to top" xr:uid="{00000000-0004-0000-0700-00001D000000}"/>
    <hyperlink ref="E164" location="Contents" display="Back to top" xr:uid="{00000000-0004-0000-0700-00001E000000}"/>
    <hyperlink ref="E169" location="Contents" display="Back to top" xr:uid="{00000000-0004-0000-0700-00001F000000}"/>
    <hyperlink ref="E172" location="Contents" display="Back to top" xr:uid="{00000000-0004-0000-0700-000020000000}"/>
  </hyperlinks>
  <pageMargins left="0.75" right="0.75" top="1" bottom="1" header="0.5" footer="0.5"/>
  <pageSetup scale="95" fitToHeight="11" orientation="portrait" r:id="rId1"/>
  <headerFooter alignWithMargins="0"/>
  <rowBreaks count="3" manualBreakCount="3">
    <brk id="61" min="2" max="3" man="1"/>
    <brk id="88" min="2" max="3" man="1"/>
    <brk id="136" min="2" max="3"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31574-897A-45F9-AD08-311C24D35455}">
  <sheetPr codeName="Sheet9"/>
  <dimension ref="A1:U133"/>
  <sheetViews>
    <sheetView workbookViewId="0">
      <selection activeCell="U11" sqref="U11"/>
    </sheetView>
  </sheetViews>
  <sheetFormatPr baseColWidth="10" defaultColWidth="9" defaultRowHeight="13"/>
  <cols>
    <col min="1" max="1" width="15" style="37" customWidth="1"/>
    <col min="2" max="2" width="9.33203125" style="37" bestFit="1" customWidth="1"/>
    <col min="3" max="3" width="9.1640625" style="37" bestFit="1" customWidth="1"/>
    <col min="4" max="10" width="9" style="37"/>
    <col min="11" max="11" width="11.6640625" style="37" customWidth="1"/>
    <col min="12" max="20" width="9" style="37"/>
    <col min="21" max="21" width="17.33203125" style="37" bestFit="1" customWidth="1"/>
    <col min="22" max="16384" width="9" style="37"/>
  </cols>
  <sheetData>
    <row r="1" spans="1:21">
      <c r="A1" s="37" t="s">
        <v>256</v>
      </c>
    </row>
    <row r="2" spans="1:21">
      <c r="U2" s="73" t="s">
        <v>688</v>
      </c>
    </row>
    <row r="3" spans="1:21">
      <c r="A3" s="36" t="s">
        <v>257</v>
      </c>
      <c r="U3" s="37" t="s">
        <v>691</v>
      </c>
    </row>
    <row r="4" spans="1:21">
      <c r="A4" s="47"/>
      <c r="B4" s="42">
        <v>1</v>
      </c>
      <c r="C4" s="42">
        <v>2</v>
      </c>
      <c r="D4" s="42">
        <v>3</v>
      </c>
      <c r="E4" s="42">
        <v>4</v>
      </c>
      <c r="F4" s="42">
        <v>5</v>
      </c>
      <c r="G4" s="42">
        <v>6</v>
      </c>
      <c r="H4" s="42">
        <v>7</v>
      </c>
      <c r="I4" s="42">
        <v>8</v>
      </c>
      <c r="J4" s="42">
        <v>9</v>
      </c>
      <c r="K4" s="42">
        <v>10</v>
      </c>
      <c r="L4" s="42">
        <v>11</v>
      </c>
      <c r="M4" s="42">
        <v>12</v>
      </c>
      <c r="N4" s="37" t="s">
        <v>111</v>
      </c>
      <c r="U4" s="37" t="s">
        <v>694</v>
      </c>
    </row>
    <row r="5" spans="1:21">
      <c r="A5" s="48">
        <f>SUM(B5:M5)/12</f>
        <v>1</v>
      </c>
      <c r="B5" s="49">
        <v>1.1679999999999999</v>
      </c>
      <c r="C5" s="49">
        <v>1.1830000000000001</v>
      </c>
      <c r="D5" s="49">
        <v>1.163</v>
      </c>
      <c r="E5" s="49">
        <v>1.141</v>
      </c>
      <c r="F5" s="49">
        <v>1.079</v>
      </c>
      <c r="G5" s="49">
        <v>1.0069999999999999</v>
      </c>
      <c r="H5" s="49">
        <v>0.94699999999999995</v>
      </c>
      <c r="I5" s="49">
        <v>0.79100000000000004</v>
      </c>
      <c r="J5" s="49">
        <v>0.80600000000000005</v>
      </c>
      <c r="K5" s="49">
        <v>0.82099999999999995</v>
      </c>
      <c r="L5" s="49">
        <v>0.89300000000000002</v>
      </c>
      <c r="M5" s="49">
        <v>1.0009999999999999</v>
      </c>
      <c r="N5" s="37" t="s">
        <v>112</v>
      </c>
      <c r="U5" s="73" t="s">
        <v>677</v>
      </c>
    </row>
    <row r="6" spans="1:21">
      <c r="A6" s="48"/>
      <c r="B6" s="50"/>
      <c r="C6" s="50"/>
      <c r="D6" s="50"/>
      <c r="E6" s="50"/>
      <c r="F6" s="50"/>
      <c r="G6" s="50"/>
      <c r="H6" s="50"/>
      <c r="I6" s="50"/>
      <c r="J6" s="50"/>
      <c r="K6" s="50"/>
      <c r="L6" s="50"/>
      <c r="M6" s="50"/>
      <c r="U6" s="73" t="s">
        <v>689</v>
      </c>
    </row>
    <row r="7" spans="1:21">
      <c r="A7" s="48"/>
      <c r="B7" s="42" t="s">
        <v>104</v>
      </c>
      <c r="C7" s="42" t="s">
        <v>105</v>
      </c>
      <c r="D7" s="42" t="s">
        <v>106</v>
      </c>
      <c r="E7" s="42" t="s">
        <v>98</v>
      </c>
      <c r="F7" s="42" t="s">
        <v>39</v>
      </c>
      <c r="G7" s="42" t="s">
        <v>40</v>
      </c>
      <c r="H7" s="42" t="s">
        <v>41</v>
      </c>
      <c r="I7" s="42" t="s">
        <v>99</v>
      </c>
      <c r="J7" s="42" t="s">
        <v>100</v>
      </c>
      <c r="K7" s="42" t="s">
        <v>101</v>
      </c>
      <c r="L7" s="42" t="s">
        <v>102</v>
      </c>
      <c r="M7" s="42" t="s">
        <v>103</v>
      </c>
      <c r="U7" s="73" t="s">
        <v>1284</v>
      </c>
    </row>
    <row r="8" spans="1:21">
      <c r="A8" s="57" t="s">
        <v>242</v>
      </c>
      <c r="B8" s="51">
        <f>HLOOKUP(IF(14-Calculations!$B$16&gt;12,14-Calculations!$B$16-12,14-Calculations!$B$16),$B$4:$M$5,2,FALSE)*((365/12)/31)</f>
        <v>0.8055510752688172</v>
      </c>
      <c r="C8" s="51">
        <f>HLOOKUP(IF(15-Calculations!$B$16&gt;12,15-Calculations!$B$16-12,15-Calculations!$B$16),$B$4:$M$5,2,FALSE)*((365/12)/28)</f>
        <v>0.97007440476190487</v>
      </c>
      <c r="D8" s="52">
        <f>HLOOKUP(IF(16-Calculations!$B$16&gt;12,16-Calculations!$B$16-12,16-Calculations!$B$16),$B$4:$M$5,2,FALSE)*((365/12)/31)</f>
        <v>0.98216397849462356</v>
      </c>
      <c r="E8" s="51">
        <f>HLOOKUP(IF(17-Calculations!$B$16&gt;12,17-Calculations!$B$16-12,17-Calculations!$B$16),$B$4:$M$5,2,FALSE)*((365/12)/30)</f>
        <v>1.1842222222222221</v>
      </c>
      <c r="F8" s="51">
        <f>HLOOKUP(IF(18-Calculations!$B$16&gt;12,18-Calculations!$B$16-12,18-Calculations!$B$16),$B$4:$M$5,2,FALSE)*((365/12)/31)</f>
        <v>1.1607392473118281</v>
      </c>
      <c r="G8" s="51">
        <f>HLOOKUP(IF(19-Calculations!$B$16&gt;12,19-Calculations!$B$16-12,19-Calculations!$B$16),$B$4:$M$5,2,FALSE)*((365/12)/30)</f>
        <v>1.1791527777777777</v>
      </c>
      <c r="H8" s="51">
        <f>HLOOKUP(IF(20-Calculations!$B$16&gt;12,20-Calculations!$B$16-12,20-Calculations!$B$16),$B$4:$M$5,2,FALSE)*((365/12)/31)</f>
        <v>1.1195295698924732</v>
      </c>
      <c r="I8" s="51">
        <f>HLOOKUP(IF(21-Calculations!$B$16&gt;12,21-Calculations!$B$16-12,21-Calculations!$B$16),$B$4:$M$5,2,FALSE)*((365/12)/31)</f>
        <v>1.0586962365591397</v>
      </c>
      <c r="J8" s="51">
        <f>HLOOKUP(IF(22-Calculations!$B$16&gt;12,22-Calculations!$B$16-12,22-Calculations!$B$16),$B$4:$M$5,2,FALSE)*((365/12)/30)</f>
        <v>1.0209861111111109</v>
      </c>
      <c r="K8" s="51">
        <f>HLOOKUP(IF(23-Calculations!$B$16&gt;12,23-Calculations!$B$16-12,23-Calculations!$B$16),$B$4:$M$5,2,FALSE)*((365/12)/31)</f>
        <v>0.92918010752688174</v>
      </c>
      <c r="L8" s="51">
        <f>HLOOKUP(IF(24-Calculations!$B$16&gt;12,24-Calculations!$B$16-12,24-Calculations!$B$16),$B$4:$M$5,2,FALSE)*((365/12)/30)</f>
        <v>0.80198611111111107</v>
      </c>
      <c r="M8" s="51">
        <f>HLOOKUP(IF(25-Calculations!$B$16&gt;12,25-Calculations!$B$16-12,25-Calculations!$B$16),$B$4:$M$5,2,FALSE)*((365/12)/31)</f>
        <v>0.79083333333333339</v>
      </c>
      <c r="R8" s="37" t="s">
        <v>450</v>
      </c>
      <c r="U8" s="73" t="s">
        <v>690</v>
      </c>
    </row>
    <row r="9" spans="1:21">
      <c r="A9" s="53">
        <f>SUM(B9:M9)/365</f>
        <v>0.99999999999999989</v>
      </c>
      <c r="B9" s="54">
        <f>B8*31</f>
        <v>24.972083333333334</v>
      </c>
      <c r="C9" s="54">
        <f>C8*28</f>
        <v>27.162083333333335</v>
      </c>
      <c r="D9" s="55">
        <f>D8*31</f>
        <v>30.447083333333332</v>
      </c>
      <c r="E9" s="54">
        <f>E8*30</f>
        <v>35.526666666666664</v>
      </c>
      <c r="F9" s="54">
        <f>F8*31</f>
        <v>35.982916666666668</v>
      </c>
      <c r="G9" s="54">
        <f>G8*30</f>
        <v>35.374583333333334</v>
      </c>
      <c r="H9" s="54">
        <f>H8*31</f>
        <v>34.705416666666672</v>
      </c>
      <c r="I9" s="54">
        <f>I8*31</f>
        <v>32.819583333333327</v>
      </c>
      <c r="J9" s="54">
        <f>J8*30</f>
        <v>30.629583333333329</v>
      </c>
      <c r="K9" s="54">
        <f>K8*31</f>
        <v>28.804583333333333</v>
      </c>
      <c r="L9" s="54">
        <f>L8*30</f>
        <v>24.059583333333332</v>
      </c>
      <c r="M9" s="54">
        <f>M8*31</f>
        <v>24.515833333333337</v>
      </c>
      <c r="R9" s="37">
        <v>1</v>
      </c>
      <c r="U9" s="73" t="s">
        <v>679</v>
      </c>
    </row>
    <row r="10" spans="1:21">
      <c r="A10" s="56" t="s">
        <v>237</v>
      </c>
      <c r="B10" s="51">
        <f>HLOOKUP(IF(14-Calculations!$B$17&gt;12,14-Calculations!$B$17-12,14-Calculations!$B$17),$B$4:$M$5,2,FALSE)*((365/12)/31)</f>
        <v>1.1460215053763441</v>
      </c>
      <c r="C10" s="51">
        <f>HLOOKUP(IF(15-Calculations!$B$17&gt;12,15-Calculations!$B$17-12,15-Calculations!$B$17),$B$4:$M$5,2,FALSE)*((365/12)/28)</f>
        <v>1.2851041666666669</v>
      </c>
      <c r="D10" s="52">
        <f>HLOOKUP(IF(16-Calculations!$B$17&gt;12,16-Calculations!$B$17-12,16-Calculations!$B$17),$B$4:$M$5,2,FALSE)*((365/12)/31)</f>
        <v>1.1411155913978495</v>
      </c>
      <c r="E10" s="51">
        <f>HLOOKUP(IF(17-Calculations!$B$17&gt;12,17-Calculations!$B$17-12,17-Calculations!$B$17),$B$4:$M$5,2,FALSE)*((365/12)/30)</f>
        <v>1.1568472222222221</v>
      </c>
      <c r="F10" s="51">
        <f>HLOOKUP(IF(18-Calculations!$B$17&gt;12,18-Calculations!$B$17-12,18-Calculations!$B$17),$B$4:$M$5,2,FALSE)*((365/12)/31)</f>
        <v>1.0586962365591397</v>
      </c>
      <c r="G10" s="51">
        <f>HLOOKUP(IF(19-Calculations!$B$17&gt;12,19-Calculations!$B$17-12,19-Calculations!$B$17),$B$4:$M$5,2,FALSE)*((365/12)/30)</f>
        <v>1.0209861111111109</v>
      </c>
      <c r="H10" s="51">
        <f>HLOOKUP(IF(20-Calculations!$B$17&gt;12,20-Calculations!$B$17-12,20-Calculations!$B$17),$B$4:$M$5,2,FALSE)*((365/12)/31)</f>
        <v>0.92918010752688174</v>
      </c>
      <c r="I10" s="51">
        <f>HLOOKUP(IF(21-Calculations!$B$17&gt;12,21-Calculations!$B$17-12,21-Calculations!$B$17),$B$4:$M$5,2,FALSE)*((365/12)/31)</f>
        <v>0.77611559139784947</v>
      </c>
      <c r="J10" s="51">
        <f>HLOOKUP(IF(22-Calculations!$B$17&gt;12,22-Calculations!$B$17-12,22-Calculations!$B$17),$B$4:$M$5,2,FALSE)*((365/12)/30)</f>
        <v>0.81719444444444445</v>
      </c>
      <c r="K10" s="51">
        <f>HLOOKUP(IF(23-Calculations!$B$17&gt;12,23-Calculations!$B$17-12,23-Calculations!$B$17),$B$4:$M$5,2,FALSE)*((365/12)/31)</f>
        <v>0.8055510752688172</v>
      </c>
      <c r="L10" s="51">
        <f>HLOOKUP(IF(24-Calculations!$B$17&gt;12,24-Calculations!$B$17-12,24-Calculations!$B$17),$B$4:$M$5,2,FALSE)*((365/12)/30)</f>
        <v>0.90540277777777778</v>
      </c>
      <c r="M10" s="51">
        <f>HLOOKUP(IF(25-Calculations!$B$17&gt;12,25-Calculations!$B$17-12,25-Calculations!$B$17),$B$4:$M$5,2,FALSE)*((365/12)/31)</f>
        <v>0.98216397849462356</v>
      </c>
      <c r="R10" s="37">
        <v>2</v>
      </c>
      <c r="U10" s="73" t="s">
        <v>692</v>
      </c>
    </row>
    <row r="11" spans="1:21">
      <c r="A11" s="53">
        <f>SUM(B11:M11)/365</f>
        <v>1</v>
      </c>
      <c r="B11" s="54">
        <f>B10*31</f>
        <v>35.526666666666664</v>
      </c>
      <c r="C11" s="54">
        <f>C10*28</f>
        <v>35.982916666666675</v>
      </c>
      <c r="D11" s="55">
        <f>D10*31</f>
        <v>35.374583333333334</v>
      </c>
      <c r="E11" s="54">
        <f>E10*30</f>
        <v>34.705416666666665</v>
      </c>
      <c r="F11" s="54">
        <f>F10*31</f>
        <v>32.819583333333327</v>
      </c>
      <c r="G11" s="54">
        <f>G10*30</f>
        <v>30.629583333333329</v>
      </c>
      <c r="H11" s="54">
        <f>H10*31</f>
        <v>28.804583333333333</v>
      </c>
      <c r="I11" s="54">
        <f>I10*31</f>
        <v>24.059583333333332</v>
      </c>
      <c r="J11" s="54">
        <f>J10*30</f>
        <v>24.515833333333333</v>
      </c>
      <c r="K11" s="54">
        <f>K10*31</f>
        <v>24.972083333333334</v>
      </c>
      <c r="L11" s="54">
        <f>L10*30</f>
        <v>27.162083333333335</v>
      </c>
      <c r="M11" s="54">
        <f>M10*31</f>
        <v>30.447083333333332</v>
      </c>
      <c r="R11" s="37">
        <v>3</v>
      </c>
      <c r="U11" s="73" t="s">
        <v>693</v>
      </c>
    </row>
    <row r="12" spans="1:21">
      <c r="A12" s="56" t="s">
        <v>238</v>
      </c>
      <c r="B12" s="51">
        <f>HLOOKUP(IF(14-Calculations!$B$18&gt;12,14-Calculations!$B$18-12,14-Calculations!$B$18),$B$4:$M$5,2,FALSE)*((365/12)/31)</f>
        <v>1.1460215053763441</v>
      </c>
      <c r="C12" s="51">
        <f>HLOOKUP(IF(15-Calculations!$B$18&gt;12,15-Calculations!$B$18-12,15-Calculations!$B$18),$B$4:$M$5,2,FALSE)*((365/12)/28)</f>
        <v>1.2851041666666669</v>
      </c>
      <c r="D12" s="52">
        <f>HLOOKUP(IF(16-Calculations!$B$18&gt;12,16-Calculations!$B$18-12,16-Calculations!$B$18),$B$4:$M$5,2,FALSE)*((365/12)/31)</f>
        <v>1.1411155913978495</v>
      </c>
      <c r="E12" s="51">
        <f>HLOOKUP(IF(17-Calculations!$B$18&gt;12,17-Calculations!$B$18-12,17-Calculations!$B$18),$B$4:$M$5,2,FALSE)*((365/12)/30)</f>
        <v>1.1568472222222221</v>
      </c>
      <c r="F12" s="51">
        <f>HLOOKUP(IF(18-Calculations!$B$18&gt;12,18-Calculations!$B$18-12,18-Calculations!$B$18),$B$4:$M$5,2,FALSE)*((365/12)/31)</f>
        <v>1.0586962365591397</v>
      </c>
      <c r="G12" s="51">
        <f>HLOOKUP(IF(19-Calculations!$B$18&gt;12,19-Calculations!$B$18-12,19-Calculations!$B$18),$B$4:$M$5,2,FALSE)*((365/12)/30)</f>
        <v>1.0209861111111109</v>
      </c>
      <c r="H12" s="51">
        <f>HLOOKUP(IF(20-Calculations!$B$18&gt;12,20-Calculations!$B$18-12,20-Calculations!$B$18),$B$4:$M$5,2,FALSE)*((365/12)/31)</f>
        <v>0.92918010752688174</v>
      </c>
      <c r="I12" s="51">
        <f>HLOOKUP(IF(21-Calculations!$B$18&gt;12,21-Calculations!$B$18-12,21-Calculations!$B$18),$B$4:$M$5,2,FALSE)*((365/12)/31)</f>
        <v>0.77611559139784947</v>
      </c>
      <c r="J12" s="51">
        <f>HLOOKUP(IF(22-Calculations!$B$18&gt;12,22-Calculations!$B$18-12,22-Calculations!$B$18),$B$4:$M$5,2,FALSE)*((365/12)/30)</f>
        <v>0.81719444444444445</v>
      </c>
      <c r="K12" s="51">
        <f>HLOOKUP(IF(23-Calculations!$B$18&gt;12,23-Calculations!$B$18-12,23-Calculations!$B$18),$B$4:$M$5,2,FALSE)*((365/12)/31)</f>
        <v>0.8055510752688172</v>
      </c>
      <c r="L12" s="51">
        <f>HLOOKUP(IF(24-Calculations!$B$18&gt;12,24-Calculations!$B$18-12,24-Calculations!$B$18),$B$4:$M$5,2,FALSE)*((365/12)/30)</f>
        <v>0.90540277777777778</v>
      </c>
      <c r="M12" s="51">
        <f>HLOOKUP(IF(25-Calculations!$B$18&gt;12,25-Calculations!$B$18-12,25-Calculations!$B$18),$B$4:$M$5,2,FALSE)*((365/12)/31)</f>
        <v>0.98216397849462356</v>
      </c>
      <c r="R12" s="37">
        <v>4</v>
      </c>
      <c r="U12" s="73" t="s">
        <v>675</v>
      </c>
    </row>
    <row r="13" spans="1:21">
      <c r="A13" s="53">
        <f>SUM(B13:M13)/365</f>
        <v>1</v>
      </c>
      <c r="B13" s="54">
        <f>B12*31</f>
        <v>35.526666666666664</v>
      </c>
      <c r="C13" s="54">
        <f>C12*28</f>
        <v>35.982916666666675</v>
      </c>
      <c r="D13" s="55">
        <f>D12*31</f>
        <v>35.374583333333334</v>
      </c>
      <c r="E13" s="54">
        <f>E12*30</f>
        <v>34.705416666666665</v>
      </c>
      <c r="F13" s="54">
        <f>F12*31</f>
        <v>32.819583333333327</v>
      </c>
      <c r="G13" s="54">
        <f>G12*30</f>
        <v>30.629583333333329</v>
      </c>
      <c r="H13" s="54">
        <f>H12*31</f>
        <v>28.804583333333333</v>
      </c>
      <c r="I13" s="54">
        <f>I12*31</f>
        <v>24.059583333333332</v>
      </c>
      <c r="J13" s="54">
        <f>J12*30</f>
        <v>24.515833333333333</v>
      </c>
      <c r="K13" s="54">
        <f>K12*31</f>
        <v>24.972083333333334</v>
      </c>
      <c r="L13" s="54">
        <f>L12*30</f>
        <v>27.162083333333335</v>
      </c>
      <c r="M13" s="54">
        <f>M12*31</f>
        <v>30.447083333333332</v>
      </c>
      <c r="R13" s="37">
        <v>5</v>
      </c>
      <c r="U13" s="73" t="s">
        <v>678</v>
      </c>
    </row>
    <row r="14" spans="1:21">
      <c r="R14" s="37">
        <v>6</v>
      </c>
    </row>
    <row r="15" spans="1:21">
      <c r="A15" s="58" t="s">
        <v>243</v>
      </c>
      <c r="B15" s="59"/>
      <c r="C15" s="59"/>
      <c r="D15" s="59"/>
      <c r="E15" s="59"/>
      <c r="F15" s="60"/>
      <c r="R15" s="37">
        <v>7</v>
      </c>
    </row>
    <row r="16" spans="1:21">
      <c r="A16" s="61" t="s">
        <v>242</v>
      </c>
      <c r="B16" s="62">
        <v>4</v>
      </c>
      <c r="C16" s="37" t="s">
        <v>239</v>
      </c>
      <c r="F16" s="63"/>
      <c r="R16" s="37">
        <v>8</v>
      </c>
      <c r="U16" s="73"/>
    </row>
    <row r="17" spans="1:21">
      <c r="A17" s="61" t="s">
        <v>237</v>
      </c>
      <c r="B17" s="62">
        <v>1</v>
      </c>
      <c r="C17" s="37" t="s">
        <v>240</v>
      </c>
      <c r="F17" s="63"/>
      <c r="R17" s="37">
        <v>9</v>
      </c>
      <c r="U17" s="73"/>
    </row>
    <row r="18" spans="1:21">
      <c r="A18" s="64" t="s">
        <v>238</v>
      </c>
      <c r="B18" s="65">
        <v>1</v>
      </c>
      <c r="C18" s="54" t="s">
        <v>241</v>
      </c>
      <c r="D18" s="54"/>
      <c r="E18" s="54"/>
      <c r="F18" s="66"/>
      <c r="R18" s="37">
        <v>10</v>
      </c>
      <c r="U18" s="73"/>
    </row>
    <row r="19" spans="1:21">
      <c r="R19" s="37">
        <v>11</v>
      </c>
      <c r="U19" s="73"/>
    </row>
    <row r="20" spans="1:21">
      <c r="A20" s="36" t="s">
        <v>55</v>
      </c>
      <c r="R20" s="37">
        <v>12</v>
      </c>
      <c r="U20" s="73"/>
    </row>
    <row r="21" spans="1:21">
      <c r="U21" s="73"/>
    </row>
    <row r="22" spans="1:21">
      <c r="A22" s="68" t="s">
        <v>104</v>
      </c>
      <c r="B22" s="68" t="s">
        <v>105</v>
      </c>
      <c r="C22" s="68" t="s">
        <v>106</v>
      </c>
      <c r="D22" s="67" t="s">
        <v>98</v>
      </c>
      <c r="E22" s="68" t="s">
        <v>39</v>
      </c>
      <c r="F22" s="68" t="s">
        <v>40</v>
      </c>
      <c r="G22" s="68" t="s">
        <v>41</v>
      </c>
      <c r="H22" s="68" t="s">
        <v>99</v>
      </c>
      <c r="I22" s="68" t="s">
        <v>100</v>
      </c>
      <c r="J22" s="68" t="s">
        <v>101</v>
      </c>
      <c r="K22" s="68" t="s">
        <v>102</v>
      </c>
      <c r="L22" s="68" t="s">
        <v>103</v>
      </c>
      <c r="M22" s="69"/>
      <c r="N22" s="69"/>
      <c r="O22" s="70"/>
      <c r="U22" s="73"/>
    </row>
    <row r="23" spans="1:21">
      <c r="A23" s="915">
        <v>31</v>
      </c>
      <c r="B23" s="915">
        <v>28</v>
      </c>
      <c r="C23" s="915">
        <v>31</v>
      </c>
      <c r="D23" s="915">
        <v>30</v>
      </c>
      <c r="E23" s="915">
        <v>31</v>
      </c>
      <c r="F23" s="915">
        <v>30</v>
      </c>
      <c r="G23" s="915">
        <v>31</v>
      </c>
      <c r="H23" s="915">
        <v>31</v>
      </c>
      <c r="I23" s="915">
        <v>30</v>
      </c>
      <c r="J23" s="914">
        <v>31</v>
      </c>
      <c r="K23" s="915">
        <v>30</v>
      </c>
      <c r="L23" s="915">
        <v>31</v>
      </c>
      <c r="M23" s="54" t="s">
        <v>107</v>
      </c>
      <c r="N23" s="54"/>
      <c r="O23" s="55"/>
      <c r="U23" s="73"/>
    </row>
    <row r="24" spans="1:21">
      <c r="A24" s="917">
        <f>IF(Calculations!$D34=1,0,IF(Calculations!$D34&lt;Calculations!$D35, IF(Calculations!$D34&lt;1,IF(Calculations!$D35&gt;=1,F23+L24,0),0),IF(Calculations!$D34&gt;Calculations!$D35,IF(Calculations!$D35&gt;=1,F23+L24,IF(Calculations!$D34&lt;=1,F23+L24,0)),0)))</f>
        <v>0</v>
      </c>
      <c r="B24" s="917">
        <f>IF(Calculations!$D34=2,0,IF(Calculations!$D34&lt;Calculations!$D35, IF(Calculations!$D34&lt;2,IF(Calculations!$D35&gt;=2,G23+A24,0),0),IF(Calculations!$D34&gt;Calculations!$D35,IF(Calculations!$D35&gt;=2,G23+A24,IF(Calculations!$D34&lt;=2,G23+A24,0)),0)))</f>
        <v>31</v>
      </c>
      <c r="C24" s="917">
        <f>IF(Calculations!$D34=3,0,IF(Calculations!$D34&lt;Calculations!$D35, IF(Calculations!$D34&lt;3,IF(Calculations!$D35&gt;=3,H23+B24,0),0),IF(Calculations!$D34&gt;Calculations!$D35,IF(Calculations!$D35&gt;=3,H23+B24,IF(Calculations!$D34&lt;=3,H23+B24,0)),0)))</f>
        <v>62</v>
      </c>
      <c r="D24" s="916">
        <f>IF(Calculations!$D34=4,0,IF(Calculations!$D34&lt;Calculations!$D35, IF(Calculations!$D34&lt;4,IF(Calculations!$D35&gt;=4,I23+C24,0),0),IF(Calculations!$D34&gt;Calculations!$D35,IF(Calculations!$D35&gt;=4,I23+C24,IF(Calculations!$D34&lt;=4,I23+C24,0)),0)))</f>
        <v>92</v>
      </c>
      <c r="E24" s="917">
        <f>IF(Calculations!$D34=5,0,IF(Calculations!$D34&lt;Calculations!$D35, IF(Calculations!$D34&lt;5,IF(Calculations!$D35&gt;=5,J23+D24,0),0),IF(Calculations!$D34&gt;Calculations!$D35,IF(Calculations!$D35&gt;=5,J23+D24,IF(Calculations!$D34&lt;=5,J23+D24,0)),0)))</f>
        <v>123</v>
      </c>
      <c r="F24" s="917">
        <f>IF(Calculations!$D34=6,0,IF(Calculations!$D34&lt;Calculations!$D35, IF(Calculations!$D34&lt;6,IF(Calculations!$D35&gt;=6,K23+E24,0),0),IF(Calculations!$D34&gt;Calculations!$D35,IF(Calculations!$D35&gt;=6,K23+E24,IF(Calculations!$D34&lt;=6,K23+E24,0)),0)))</f>
        <v>153</v>
      </c>
      <c r="G24" s="917">
        <f>IF(Calculations!$D34=7,0,IF(Calculations!$D34&lt;Calculations!$D35, IF(Calculations!$D34&lt;7,IF(Calculations!$D35&gt;=7,L23+F24,0),0),IF(Calculations!$D34&gt;Calculations!$D35,IF(Calculations!$D35&gt;=7,L23+F24,IF(Calculations!$D34&lt;=7,L23+F24,0)),0)))</f>
        <v>184</v>
      </c>
      <c r="H24" s="917">
        <f>IF(Calculations!$D34=8,0,IF(Calculations!$D34&lt;Calculations!$D35, IF(Calculations!$D34&lt;8,IF(Calculations!$D35&gt;=8,A23+G24,0),0),IF(Calculations!$D34&gt;Calculations!$D35,IF(Calculations!$D35&gt;=8,A23+G24,IF(Calculations!$D34&lt;=8,A23+G24,0)),0)))</f>
        <v>215</v>
      </c>
      <c r="I24" s="917">
        <f>IF(Calculations!$D34=9,0,IF(Calculations!$D34&lt;Calculations!$D35, IF(Calculations!$D34&lt;9,IF(Calculations!$D35&gt;=9,B23+H24,0),0),IF(Calculations!$D34&gt;Calculations!$D35,IF(Calculations!$D35&gt;=9,B23+H24,IF(Calculations!$D34&lt;=9,B23+H24,0)),0)))</f>
        <v>243</v>
      </c>
      <c r="J24" s="917">
        <f>IF(Calculations!$D34=10,0,IF(Calculations!$D34&lt;Calculations!$D35, IF(Calculations!$D34&lt;10,IF(Calculations!$D35&gt;=10,C23+I24,0),0),IF(Calculations!$D34&gt;Calculations!$D35,IF(Calculations!$D35&gt;=10,C23+I24,IF(Calculations!$D34&lt;=10,C23+I24,0)),0)))</f>
        <v>274</v>
      </c>
      <c r="K24" s="917">
        <f>IF(Calculations!$D34=11,0,IF(Calculations!$D34&lt;Calculations!$D35, IF(Calculations!$D34&lt;11,IF(Calculations!$D35&gt;=11,D23+J24,0),0),IF(Calculations!$D34&gt;Calculations!$D35,IF(Calculations!$D35&gt;=11,D23+J24,IF(Calculations!$D34&lt;=11,D23+J24,0)),0)))</f>
        <v>304</v>
      </c>
      <c r="L24" s="917">
        <f>IF(Calculations!$D34=12,0,IF(Calculations!$D34&lt;Calculations!$D35, IF(Calculations!$D34&lt;12,IF(Calculations!$D35&gt;=12,E23+K24,0),0),IF(Calculations!$D34&gt;Calculations!$D35,IF(Calculations!$D35&gt;=12,E23+K24,IF(Calculations!$D34&lt;=12,E23+K24,0)),0)))</f>
        <v>335</v>
      </c>
      <c r="M24" s="69" t="s">
        <v>245</v>
      </c>
      <c r="N24" s="69" t="s">
        <v>108</v>
      </c>
      <c r="O24" s="70"/>
      <c r="U24" s="73"/>
    </row>
    <row r="25" spans="1:21">
      <c r="A25" s="919">
        <f>IF(Calculations!$D34&lt;Calculations!$D35,IF(Calculations!$D34&lt;=1,IF(Calculations!$D35&gt;=1,((2*(Calculations!$D32+(A24*Calculations!$D33))+Calculations!$D33*G23)/2),0),0),IF(Calculations!$D34&gt;Calculations!$D35,IF(Calculations!$D34&lt;=1,((2*(Calculations!$D32+(A24*Calculations!$D33))+Calculations!$D33*G23)/2),IF(Calculations!$D35&gt;=1,((2*(Calculations!$D32+(A24*Calculations!$D33))+Calculations!$D33*G23)/2),0))))</f>
        <v>431</v>
      </c>
      <c r="B25" s="919">
        <f>IF(Calculations!$D34&lt;Calculations!$D35,IF(Calculations!$D34&lt;=2,IF(Calculations!$D35&gt;=2,((2*(Calculations!$D32+(B24*Calculations!$D33))+Calculations!$D33*H23)/2),0),0),IF(Calculations!$D34&gt;Calculations!$D35,IF(Calculations!$D34&lt;=2,((2*(Calculations!$D32+(B24*Calculations!$D33))+Calculations!$D33*H23)/2),IF(Calculations!$D35&gt;=2,((2*(Calculations!$D32+(B24*Calculations!$D33))+Calculations!$D33*H23)/2),0))))</f>
        <v>493</v>
      </c>
      <c r="C25" s="919">
        <f>IF(Calculations!$D34&lt;Calculations!$D35,IF(Calculations!$D34&lt;=3,IF(Calculations!$D35&gt;=3,((2*(Calculations!$D32+(C24*Calculations!$D33))+Calculations!$D33*I23)/2),0),0),IF(Calculations!$D34&gt;Calculations!$D35,IF(Calculations!$D34&lt;=3,((2*(Calculations!$D32+(C24*Calculations!$D33))+Calculations!$D33*I23)/2),IF(Calculations!$D35&gt;=3,((2*(Calculations!$D32+(C24*Calculations!$D33))+Calculations!$D33*I23)/2),0))))</f>
        <v>554</v>
      </c>
      <c r="D25" s="918">
        <f>IF(Calculations!$D34&lt;Calculations!$D35,IF(Calculations!$D34&lt;=4,IF(Calculations!$D35&gt;=4,((2*(Calculations!$D32+(D24*Calculations!$D33))+Calculations!$D33*J23)/2),0),0),IF(Calculations!$D34&gt;Calculations!$D35,IF(Calculations!$D34&lt;=4,((2*(Calculations!$D32+(D24*Calculations!$D33))+Calculations!$D33*J23)/2),IF(Calculations!$D35&gt;=4,((2*(Calculations!$D32+(D24*Calculations!$D33))+Calculations!$D33*J23)/2),0))))</f>
        <v>615</v>
      </c>
      <c r="E25" s="919">
        <f>IF(Calculations!$D34&lt;Calculations!$D35,IF(Calculations!$D34&lt;=5,IF(Calculations!$D35&gt;=5,((2*(Calculations!$D32+(E24*Calculations!$D33))+Calculations!$D33*K23)/2),0),0),IF(Calculations!$D34&gt;Calculations!$D35,IF(Calculations!$D34&lt;=5,((2*(Calculations!$D32+(E24*Calculations!$D33))+Calculations!$D33*K23)/2),IF(Calculations!$D35&gt;=5,((2*(Calculations!$D32+(E24*Calculations!$D33))+Calculations!$D33*K23)/2),0))))</f>
        <v>676</v>
      </c>
      <c r="F25" s="919">
        <f>IF(Calculations!$D34&lt;Calculations!$D35,IF(Calculations!$D34&lt;=6,IF(Calculations!$D35&gt;=6,((2*(Calculations!$D32+(F24*Calculations!$D33))+Calculations!$D33*L23)/2),0),0),IF(Calculations!$D34&gt;Calculations!$D35,IF(Calculations!$D34&lt;=6,((2*(Calculations!$D32+(F24*Calculations!$D33))+Calculations!$D33*L23)/2),IF(Calculations!$D35&gt;=6,((2*(Calculations!$D32+(F24*Calculations!$D33))+Calculations!$D33*L23)/2),0))))</f>
        <v>737</v>
      </c>
      <c r="G25" s="919">
        <f>IF(Calculations!$D34&lt;Calculations!$D35,IF(Calculations!$D34&lt;=7,IF(Calculations!$D35&gt;=7,((2*(Calculations!$D32+(G24*Calculations!$D33))+Calculations!$D33*A23)/2),0),0),IF(Calculations!$D34&gt;Calculations!$D35,IF(Calculations!$D34&lt;=7,((2*(Calculations!$D32+(G24*Calculations!$D33))+Calculations!$D33*A23)/2),IF(Calculations!$D35&gt;=7,((2*(Calculations!$D32+(G24*Calculations!$D33))+Calculations!$D33*A23)/2),0))))</f>
        <v>799</v>
      </c>
      <c r="H25" s="919">
        <f>IF(Calculations!$D34&lt;Calculations!$D35,IF(Calculations!$D34&lt;=8,IF(Calculations!$D35&gt;=8,((2*(Calculations!$D32+(H24*Calculations!$D33))+Calculations!$D33*B23)/2),0),0),IF(Calculations!$D34&gt;Calculations!$D35,IF(Calculations!$D34&lt;=8,((2*(Calculations!$D32+(H24*Calculations!$D33))+Calculations!$D33*B23)/2),IF(Calculations!$D35&gt;=8,((2*(Calculations!$D32+(H24*Calculations!$D33))+Calculations!$D33*B23)/2),0))))</f>
        <v>858</v>
      </c>
      <c r="I25" s="919">
        <f>IF(Calculations!$D34&lt;Calculations!$D35,IF(Calculations!$D34&lt;=9,IF(Calculations!$D35&gt;=9,((2*(Calculations!$D32+(I24*Calculations!$D33))+Calculations!$D33*C23)/2),0),0),IF(Calculations!$D34&gt;Calculations!$D35,IF(Calculations!$D34&lt;=9,((2*(Calculations!$D32+(I24*Calculations!$D33))+Calculations!$D33*C23)/2),IF(Calculations!$D35&gt;=9,((2*(Calculations!$D32+(I24*Calculations!$D33))+Calculations!$D33*C23)/2),0))))</f>
        <v>917</v>
      </c>
      <c r="J25" s="919">
        <f>IF(Calculations!$D34&lt;Calculations!$D35,IF(Calculations!$D34&lt;=10,IF(Calculations!$D35&gt;=10,((2*(Calculations!$D32+(J24*Calculations!$D33))+Calculations!$D33*D23)/2),0),0),IF(Calculations!$D34&gt;Calculations!$D35,IF(Calculations!$D34&lt;=10,((2*(Calculations!$D32+(J24*Calculations!$D33))+Calculations!$D33*D23)/2),IF(Calculations!$D35&gt;=10,((2*(Calculations!$D32+(J24*Calculations!$D33))+Calculations!$D33*D23)/2),0))))</f>
        <v>978</v>
      </c>
      <c r="K25" s="919">
        <f>IF(Calculations!$D34&lt;Calculations!$D35,IF(Calculations!$D34&lt;=11,IF(Calculations!$D35&gt;=11,((2*(Calculations!$D32+(K24*Calculations!$D33))+Calculations!$D33*E23)/2),0),0),IF(Calculations!$D34&gt;Calculations!$D35,IF(Calculations!$D34&lt;=11,((2*(Calculations!$D32+(K24*Calculations!$D33))+Calculations!$D33*E23)/2),IF(Calculations!$D35&gt;=11,((2*(Calculations!$D32+(K24*Calculations!$D33))+Calculations!$D33*E23)/2),0))))</f>
        <v>1039</v>
      </c>
      <c r="L25" s="919">
        <f>IF(Calculations!$D34&lt;Calculations!$D35,IF(Calculations!$D34&lt;=12,IF(Calculations!$D35&gt;=12,((2*(Calculations!$D32+(L24*Calculations!$D33))+Calculations!$D33*F23)/2),0),0),IF(Calculations!$D34&gt;Calculations!$D35,IF(Calculations!$D34&lt;=12,((2*(Calculations!$D32+(L24*Calculations!$D33))+Calculations!$D33*F23)/2),IF(Calculations!$D35&gt;=12,((2*(Calculations!$D32+(L24*Calculations!$D33))+Calculations!$D33*F23)/2),0))))</f>
        <v>1100</v>
      </c>
      <c r="M25" s="37" t="s">
        <v>245</v>
      </c>
      <c r="N25" s="37" t="s">
        <v>109</v>
      </c>
      <c r="O25" s="71"/>
      <c r="U25" s="73"/>
    </row>
    <row r="26" spans="1:21">
      <c r="A26" s="915">
        <f t="shared" ref="A26:F26" si="0">IF(A25&gt;0,A24+G23,0)</f>
        <v>31</v>
      </c>
      <c r="B26" s="915">
        <f t="shared" si="0"/>
        <v>62</v>
      </c>
      <c r="C26" s="915">
        <f t="shared" si="0"/>
        <v>92</v>
      </c>
      <c r="D26" s="914">
        <f t="shared" si="0"/>
        <v>123</v>
      </c>
      <c r="E26" s="915">
        <f t="shared" si="0"/>
        <v>153</v>
      </c>
      <c r="F26" s="915">
        <f t="shared" si="0"/>
        <v>184</v>
      </c>
      <c r="G26" s="915">
        <f t="shared" ref="G26:L26" si="1">IF(G25&gt;0,G24+A23,0)</f>
        <v>215</v>
      </c>
      <c r="H26" s="915">
        <f t="shared" si="1"/>
        <v>243</v>
      </c>
      <c r="I26" s="915">
        <f t="shared" si="1"/>
        <v>274</v>
      </c>
      <c r="J26" s="915">
        <f t="shared" si="1"/>
        <v>304</v>
      </c>
      <c r="K26" s="915">
        <f t="shared" si="1"/>
        <v>335</v>
      </c>
      <c r="L26" s="915">
        <f t="shared" si="1"/>
        <v>365</v>
      </c>
      <c r="M26" s="54" t="s">
        <v>245</v>
      </c>
      <c r="N26" s="54" t="s">
        <v>110</v>
      </c>
      <c r="O26" s="55"/>
      <c r="U26" s="73"/>
    </row>
    <row r="27" spans="1:21">
      <c r="A27" s="917">
        <f>IF(Calculations!$D39=1,0,IF(Calculations!$D39&lt;Calculations!$D40, IF(Calculations!$D39&lt;1,IF(Calculations!$D40&gt;=1,F23+L27,0),0),IF(Calculations!$D39&gt;Calculations!$D40,IF(Calculations!$D40&gt;=1,F23+L27,IF(Calculations!$D39&lt;=1,F23+L27,0)),0)))</f>
        <v>0</v>
      </c>
      <c r="B27" s="917">
        <f>IF(Calculations!$D39=2,0,IF(Calculations!$D39&lt;Calculations!$D40, IF(Calculations!$D39&lt;2,IF(Calculations!$D40&gt;=2,G23+A27,0),0),IF(Calculations!$D39&gt;Calculations!$D40,IF(Calculations!$D40&gt;=2,G23+A27,IF(Calculations!$D39&lt;=2,G23+A27,0)),0)))</f>
        <v>31</v>
      </c>
      <c r="C27" s="917">
        <f>IF(Calculations!$D39=3,0,IF(Calculations!$D39&lt;Calculations!$D40, IF(Calculations!$D39&lt;3,IF(Calculations!$D40&gt;=3,H23+B27,0),0),IF(Calculations!$D39&gt;Calculations!$D40,IF(Calculations!$D40&gt;=3,H23+B27,IF(Calculations!$D39&lt;=3,H23+B27,0)),0)))</f>
        <v>62</v>
      </c>
      <c r="D27" s="916">
        <f>IF(Calculations!$D39=4,0,IF(Calculations!$D39&lt;Calculations!$D40, IF(Calculations!$D39&lt;4,IF(Calculations!$D40&gt;=4,I23+C27,0),0),IF(Calculations!$D39&gt;Calculations!$D40,IF(Calculations!$D40&gt;=4,I23+C27,IF(Calculations!$D39&lt;=4,I23+C27,0)),0)))</f>
        <v>92</v>
      </c>
      <c r="E27" s="917">
        <f>IF(Calculations!$D39=5,0,IF(Calculations!$D39&lt;Calculations!$D40, IF(Calculations!$D39&lt;5,IF(Calculations!$D40&gt;=5,J23+D27,0),0),IF(Calculations!$D39&gt;Calculations!$D40,IF(Calculations!$D40&gt;=5,J23+D27,IF(Calculations!$D39&lt;=5,J23+D27,0)),0)))</f>
        <v>123</v>
      </c>
      <c r="F27" s="917">
        <f>IF(Calculations!$D39=6,0,IF(Calculations!$D39&lt;Calculations!$D40, IF(Calculations!$D39&lt;6,IF(Calculations!$D40&gt;=6,K23+E27,0),0),IF(Calculations!$D39&gt;Calculations!$D40,IF(Calculations!$D40&gt;=6,K23+E27,IF(Calculations!$D39&lt;=6,K23+E27,0)),0)))</f>
        <v>153</v>
      </c>
      <c r="G27" s="917">
        <f>IF(Calculations!$D39=7,0,IF(Calculations!$D39&lt;Calculations!$D40, IF(Calculations!$D39&lt;7,IF(Calculations!$D40&gt;=7,L23+F27,0),0),IF(Calculations!$D39&gt;Calculations!$D40,IF(Calculations!$D40&gt;=7,L23+F27,IF(Calculations!$D39&lt;=7,L23+F27,0)),0)))</f>
        <v>184</v>
      </c>
      <c r="H27" s="917">
        <f>IF(Calculations!$D39=8,0,IF(Calculations!$D39&lt;Calculations!$D40, IF(Calculations!$D39&lt;8,IF(Calculations!$D40&gt;=8,A23+G27,0),0),IF(Calculations!$D39&gt;Calculations!$D40,IF(Calculations!$D40&gt;=8,A23+G27,IF(Calculations!$D39&lt;=8,A23+G27,0)),0)))</f>
        <v>215</v>
      </c>
      <c r="I27" s="917">
        <f>IF(Calculations!$D39=9,0,IF(Calculations!$D39&lt;Calculations!$D40, IF(Calculations!$D39&lt;9,IF(Calculations!$D40&gt;=9,B23+H27,0),0),IF(Calculations!$D39&gt;Calculations!$D40,IF(Calculations!$D40&gt;=9,B23+H27,IF(Calculations!$D39&lt;=9,B23+H27,0)),0)))</f>
        <v>243</v>
      </c>
      <c r="J27" s="917">
        <f>IF(Calculations!$D39=10,0,IF(Calculations!$D39&lt;Calculations!$D40, IF(Calculations!$D39&lt;10,IF(Calculations!$D40&gt;=10,C23+I27,0),0),IF(Calculations!$D39&gt;Calculations!$D40,IF(Calculations!$D40&gt;=10,C23+I27,IF(Calculations!$D39&lt;=10,C23+I27,0)),0)))</f>
        <v>274</v>
      </c>
      <c r="K27" s="917">
        <f>IF(Calculations!$D39=11,0,IF(Calculations!$D39&lt;Calculations!$D40, IF(Calculations!$D39&lt;11,IF(Calculations!$D40&gt;=11,D23+J27,0),0),IF(Calculations!$D39&gt;Calculations!$D40,IF(Calculations!$D40&gt;=11,D23+J27,IF(Calculations!$D39&lt;=11,D23+J27,0)),0)))</f>
        <v>304</v>
      </c>
      <c r="L27" s="917">
        <f>IF(Calculations!$D39=12,0,IF(Calculations!$D39&lt;Calculations!$D40, IF(Calculations!$D39&lt;12,IF(Calculations!$D40&gt;=12,E23+K27,0),0),IF(Calculations!$D39&gt;Calculations!$D40,IF(Calculations!$D40&gt;=12,E23+K27,IF(Calculations!$D39&lt;=12,E23+K27,0)),0)))</f>
        <v>335</v>
      </c>
      <c r="M27" s="69" t="s">
        <v>250</v>
      </c>
      <c r="N27" s="69" t="s">
        <v>108</v>
      </c>
      <c r="O27" s="70"/>
      <c r="U27" s="73"/>
    </row>
    <row r="28" spans="1:21">
      <c r="A28" s="921">
        <f>IF(Calculations!$D39&lt;Calculations!$D40,IF(Calculations!$D39&lt;=1,IF(Calculations!$D40&gt;=1,((2*(Calculations!$D37+(A27*Calculations!$D38))+Calculations!$D38*G23)/2),0),0),IF(Calculations!$D39&gt;Calculations!$D40,IF(Calculations!$D39&lt;=1,((2*(Calculations!$D37+(A27*Calculations!$D38))+Calculations!$D38*G23)/2),IF(Calculations!$D40&gt;=1,((2*(Calculations!$D37+(A27*Calculations!$D38))+Calculations!$D38*G23)/2),0))))</f>
        <v>1015.5</v>
      </c>
      <c r="B28" s="921">
        <f>IF(Calculations!$D39&lt;Calculations!$D40,IF(Calculations!$D39&lt;=2,IF(Calculations!$D40&gt;=2,((2*(Calculations!$D37+(B27*Calculations!$D38))+Calculations!$D38*H23)/2),0),0),IF(Calculations!$D39&gt;Calculations!$D40,IF(Calculations!$D39&lt;=2,((2*(Calculations!$D37+(B27*Calculations!$D38))+Calculations!$D38*H23)/2),IF(Calculations!$D40&gt;=2,((2*(Calculations!$D37+(B27*Calculations!$D38))+Calculations!$D38*H23)/2),0))))</f>
        <v>1046.5</v>
      </c>
      <c r="C28" s="921">
        <f>IF(Calculations!$D39&lt;Calculations!$D40,IF(Calculations!$D39&lt;=3,IF(Calculations!$D40&gt;=3,((2*(Calculations!$D37+(C27*Calculations!$D38))+Calculations!$D38*I23)/2),0),0),IF(Calculations!$D39&gt;Calculations!$D40,IF(Calculations!$D39&lt;=3,((2*(Calculations!$D37+(C27*Calculations!$D38))+Calculations!$D38*I23)/2),IF(Calculations!$D40&gt;=3,((2*(Calculations!$D37+(C27*Calculations!$D38))+Calculations!$D38*I23)/2),0))))</f>
        <v>1077</v>
      </c>
      <c r="D28" s="920">
        <f>IF(Calculations!$D39&lt;Calculations!$D40,IF(Calculations!$D39&lt;=4,IF(Calculations!$D40&gt;=4,((2*(Calculations!$D37+(D27*Calculations!$D38))+Calculations!$D38*J23)/2),0),0),IF(Calculations!$D39&gt;Calculations!$D40,IF(Calculations!$D39&lt;=4,((2*(Calculations!$D37+(D27*Calculations!$D38))+Calculations!$D38*J23)/2),IF(Calculations!$D40&gt;=4,((2*(Calculations!$D37+(D27*Calculations!$D38))+Calculations!$D38*J23)/2),0))))</f>
        <v>1107.5</v>
      </c>
      <c r="E28" s="921">
        <f>IF(Calculations!$D39&lt;Calculations!$D40,IF(Calculations!$D39&lt;=5,IF(Calculations!$D40&gt;=5,((2*(Calculations!$D37+(E27*Calculations!$D38))+Calculations!$D38*K23)/2),0),0),IF(Calculations!$D39&gt;Calculations!$D40,IF(Calculations!$D39&lt;=5,((2*(Calculations!$D37+(E27*Calculations!$D38))+Calculations!$D38*K23)/2),IF(Calculations!$D40&gt;=5,((2*(Calculations!$D37+(E27*Calculations!$D38))+Calculations!$D38*K23)/2),0))))</f>
        <v>1138</v>
      </c>
      <c r="F28" s="921">
        <f>IF(Calculations!$D39&lt;Calculations!$D40,IF(Calculations!$D39&lt;=6,IF(Calculations!$D40&gt;=6,((2*(Calculations!$D37+(F27*Calculations!$D38))+Calculations!$D38*L23)/2),0),0),IF(Calculations!$D39&gt;Calculations!$D40,IF(Calculations!$D39&lt;=6,((2*(Calculations!$D37+(F27*Calculations!$D38))+Calculations!$D38*L23)/2),IF(Calculations!$D40&gt;=6,((2*(Calculations!$D37+(F27*Calculations!$D38))+Calculations!$D38*L23)/2),0))))</f>
        <v>1168.5</v>
      </c>
      <c r="G28" s="921">
        <f>IF(Calculations!$D39&lt;Calculations!$D40,IF(Calculations!$D39&lt;=7,IF(Calculations!$D40&gt;=7,((2*(Calculations!$D37+(G27*Calculations!$D38))+Calculations!$D38*A23)/2),0),0),IF(Calculations!$D39&gt;Calculations!$D40,IF(Calculations!$D39&lt;=7,((2*(Calculations!$D37+(G27*Calculations!$D38))+Calculations!$D38*A23)/2),IF(Calculations!$D40&gt;=7,((2*(Calculations!$D37+(G27*Calculations!$D38))+Calculations!$D38*A23)/2),0))))</f>
        <v>1199.5</v>
      </c>
      <c r="H28" s="921">
        <f>IF(Calculations!$D39&lt;Calculations!$D40,IF(Calculations!$D39&lt;=8,IF(Calculations!$D40&gt;=8,((2*(Calculations!$D37+(H27*Calculations!$D38))+Calculations!$D38*B23)/2),0),0),IF(Calculations!$D39&gt;Calculations!$D40,IF(Calculations!$D39&lt;=8,((2*(Calculations!$D37+(H27*Calculations!$D38))+Calculations!$D38*B23)/2),IF(Calculations!$D40&gt;=8,((2*(Calculations!$D37+(H27*Calculations!$D38))+Calculations!$D38*B23)/2),0))))</f>
        <v>1229</v>
      </c>
      <c r="I28" s="921">
        <f>IF(Calculations!$D39&lt;Calculations!$D40,IF(Calculations!$D39&lt;=9,IF(Calculations!$D40&gt;=9,((2*(Calculations!$D37+(I27*Calculations!$D38))+Calculations!$D38*C23)/2),0),0),IF(Calculations!$D39&gt;Calculations!$D40,IF(Calculations!$D39&lt;=9,((2*(Calculations!$D37+(I27*Calculations!$D38))+Calculations!$D38*C23)/2),IF(Calculations!$D40&gt;=9,((2*(Calculations!$D37+(I27*Calculations!$D38))+Calculations!$D38*C23)/2),0))))</f>
        <v>1258.5</v>
      </c>
      <c r="J28" s="921">
        <f>IF(Calculations!$D39&lt;Calculations!$D40,IF(Calculations!$D39&lt;=10,IF(Calculations!$D40&gt;=10,((2*(Calculations!$D37+(J27*Calculations!$D38))+Calculations!$D38*D23)/2),0),0),IF(Calculations!$D39&gt;Calculations!$D40,IF(Calculations!$D39&lt;=10,((2*(Calculations!$D37+(J27*Calculations!$D38))+Calculations!$D38*D23)/2),IF(Calculations!$D40&gt;=10,((2*(Calculations!$D37+(J27*Calculations!$D38))+Calculations!$D38*D23)/2),0))))</f>
        <v>1289</v>
      </c>
      <c r="K28" s="921">
        <f>IF(Calculations!$D39&lt;Calculations!$D40,IF(Calculations!$D39&lt;=11,IF(Calculations!$D40&gt;=11,((2*(Calculations!$D37+(K27*Calculations!$D38))+Calculations!$D38*E23)/2),0),0),IF(Calculations!$D39&gt;Calculations!$D40,IF(Calculations!$D39&lt;=11,((2*(Calculations!$D37+(K27*Calculations!$D38))+Calculations!$D38*E23)/2),IF(Calculations!$D40&gt;=11,((2*(Calculations!$D37+(K27*Calculations!$D38))+Calculations!$D38*E23)/2),0))))</f>
        <v>1319.5</v>
      </c>
      <c r="L28" s="921">
        <f>IF(Calculations!$D39&lt;Calculations!$D40,IF(Calculations!$D39&lt;=12,IF(Calculations!$D40&gt;=12,((2*(Calculations!$D37+(L27*Calculations!$D38))+Calculations!$D38*F23)/2),0),0),IF(Calculations!$D39&gt;Calculations!$D40,IF(Calculations!$D39&lt;=12,((2*(Calculations!$D37+(L27*Calculations!$D38))+Calculations!$D38*F23)/2),IF(Calculations!$D40&gt;=12,((2*(Calculations!$D37+(L27*Calculations!$D38))+Calculations!$D38*F23)/2),0))))</f>
        <v>1350</v>
      </c>
      <c r="M28" s="37" t="s">
        <v>250</v>
      </c>
      <c r="N28" s="37" t="s">
        <v>109</v>
      </c>
      <c r="O28" s="71"/>
      <c r="U28" s="73"/>
    </row>
    <row r="29" spans="1:21">
      <c r="A29" s="915">
        <f t="shared" ref="A29:F29" si="2">IF(A28&gt;0,A27+G23,0)</f>
        <v>31</v>
      </c>
      <c r="B29" s="915">
        <f t="shared" si="2"/>
        <v>62</v>
      </c>
      <c r="C29" s="915">
        <f t="shared" si="2"/>
        <v>92</v>
      </c>
      <c r="D29" s="914">
        <f t="shared" si="2"/>
        <v>123</v>
      </c>
      <c r="E29" s="915">
        <f t="shared" si="2"/>
        <v>153</v>
      </c>
      <c r="F29" s="915">
        <f t="shared" si="2"/>
        <v>184</v>
      </c>
      <c r="G29" s="915">
        <f t="shared" ref="G29:L29" si="3">IF(G28&gt;0,G27+A23,0)</f>
        <v>215</v>
      </c>
      <c r="H29" s="915">
        <f t="shared" si="3"/>
        <v>243</v>
      </c>
      <c r="I29" s="915">
        <f t="shared" si="3"/>
        <v>274</v>
      </c>
      <c r="J29" s="915">
        <f t="shared" si="3"/>
        <v>304</v>
      </c>
      <c r="K29" s="915">
        <f t="shared" si="3"/>
        <v>335</v>
      </c>
      <c r="L29" s="915">
        <f t="shared" si="3"/>
        <v>365</v>
      </c>
      <c r="M29" s="54" t="s">
        <v>250</v>
      </c>
      <c r="N29" s="54" t="s">
        <v>110</v>
      </c>
      <c r="O29" s="55"/>
      <c r="U29" s="73"/>
    </row>
    <row r="30" spans="1:21">
      <c r="U30" s="73"/>
    </row>
    <row r="31" spans="1:21">
      <c r="A31" s="58" t="s">
        <v>243</v>
      </c>
      <c r="B31" s="59"/>
      <c r="C31" s="59"/>
      <c r="D31" s="59"/>
      <c r="E31" s="59"/>
      <c r="F31" s="60"/>
      <c r="U31" s="73"/>
    </row>
    <row r="32" spans="1:21">
      <c r="A32" s="61" t="s">
        <v>245</v>
      </c>
      <c r="B32" s="37" t="s">
        <v>246</v>
      </c>
      <c r="D32" s="62">
        <v>400</v>
      </c>
      <c r="E32" s="72"/>
      <c r="F32" s="71"/>
      <c r="U32" s="73"/>
    </row>
    <row r="33" spans="1:21">
      <c r="A33" s="61"/>
      <c r="B33" s="37" t="s">
        <v>247</v>
      </c>
      <c r="D33" s="62">
        <v>2</v>
      </c>
      <c r="E33" s="72"/>
      <c r="F33" s="71"/>
      <c r="U33" s="73"/>
    </row>
    <row r="34" spans="1:21">
      <c r="A34" s="61"/>
      <c r="B34" s="37" t="s">
        <v>248</v>
      </c>
      <c r="D34" s="62">
        <v>1</v>
      </c>
      <c r="E34" s="72"/>
      <c r="F34" s="71"/>
      <c r="U34" s="73"/>
    </row>
    <row r="35" spans="1:21">
      <c r="A35" s="61"/>
      <c r="B35" s="37" t="s">
        <v>249</v>
      </c>
      <c r="D35" s="62">
        <v>12</v>
      </c>
      <c r="E35" s="72"/>
      <c r="F35" s="71"/>
      <c r="U35" s="73"/>
    </row>
    <row r="36" spans="1:21">
      <c r="A36" s="61"/>
      <c r="F36" s="71"/>
      <c r="U36" s="73"/>
    </row>
    <row r="37" spans="1:21">
      <c r="A37" s="61" t="s">
        <v>244</v>
      </c>
      <c r="B37" s="37" t="s">
        <v>246</v>
      </c>
      <c r="D37" s="62">
        <v>1000</v>
      </c>
      <c r="F37" s="71"/>
      <c r="U37" s="73"/>
    </row>
    <row r="38" spans="1:21">
      <c r="A38" s="61"/>
      <c r="B38" s="37" t="s">
        <v>247</v>
      </c>
      <c r="D38" s="62">
        <v>1</v>
      </c>
      <c r="F38" s="71"/>
      <c r="U38" s="73"/>
    </row>
    <row r="39" spans="1:21">
      <c r="A39" s="61"/>
      <c r="B39" s="37" t="s">
        <v>248</v>
      </c>
      <c r="D39" s="62">
        <v>1</v>
      </c>
      <c r="F39" s="71"/>
      <c r="U39" s="73"/>
    </row>
    <row r="40" spans="1:21">
      <c r="A40" s="64"/>
      <c r="B40" s="54" t="s">
        <v>249</v>
      </c>
      <c r="C40" s="54"/>
      <c r="D40" s="65">
        <v>12</v>
      </c>
      <c r="E40" s="54"/>
      <c r="F40" s="55"/>
      <c r="U40" s="73"/>
    </row>
    <row r="41" spans="1:21">
      <c r="U41" s="73"/>
    </row>
    <row r="42" spans="1:21">
      <c r="A42" s="141" t="s">
        <v>258</v>
      </c>
      <c r="G42" s="37" t="s">
        <v>366</v>
      </c>
      <c r="K42" s="37" t="s">
        <v>220</v>
      </c>
      <c r="U42" s="73"/>
    </row>
    <row r="43" spans="1:21">
      <c r="G43" s="37" t="s">
        <v>290</v>
      </c>
      <c r="K43" s="37" t="s">
        <v>292</v>
      </c>
      <c r="U43" s="73"/>
    </row>
    <row r="44" spans="1:21">
      <c r="A44" s="142" t="s">
        <v>259</v>
      </c>
      <c r="B44" s="59"/>
      <c r="C44" s="59"/>
      <c r="D44" s="59"/>
      <c r="E44" s="60"/>
      <c r="G44" s="37" t="s">
        <v>301</v>
      </c>
      <c r="H44" s="37" t="s">
        <v>302</v>
      </c>
      <c r="I44" s="37" t="s">
        <v>303</v>
      </c>
      <c r="K44" s="37" t="s">
        <v>316</v>
      </c>
      <c r="L44" s="310" t="b">
        <v>0</v>
      </c>
      <c r="U44" s="73"/>
    </row>
    <row r="45" spans="1:21">
      <c r="A45" s="61" t="s">
        <v>306</v>
      </c>
      <c r="B45" s="37" t="s">
        <v>288</v>
      </c>
      <c r="D45" s="62">
        <v>1</v>
      </c>
      <c r="E45" s="71"/>
      <c r="G45" s="37" t="b">
        <v>1</v>
      </c>
      <c r="H45" s="37" t="b">
        <v>0</v>
      </c>
      <c r="I45" s="37" t="b">
        <v>0</v>
      </c>
      <c r="K45" s="37" t="s">
        <v>317</v>
      </c>
      <c r="L45" s="310" t="b">
        <v>0</v>
      </c>
      <c r="U45" s="73"/>
    </row>
    <row r="46" spans="1:21">
      <c r="A46" s="61"/>
      <c r="B46" s="37" t="s">
        <v>289</v>
      </c>
      <c r="D46" s="62">
        <v>10</v>
      </c>
      <c r="E46" s="71"/>
      <c r="K46" s="37" t="s">
        <v>35</v>
      </c>
      <c r="L46" s="310" t="b">
        <v>0</v>
      </c>
      <c r="U46" s="73"/>
    </row>
    <row r="47" spans="1:21">
      <c r="A47" s="61"/>
      <c r="E47" s="71"/>
      <c r="K47" s="37" t="s">
        <v>333</v>
      </c>
      <c r="L47" s="310" t="b">
        <v>0</v>
      </c>
      <c r="U47" s="73"/>
    </row>
    <row r="48" spans="1:21">
      <c r="A48" s="61" t="s">
        <v>308</v>
      </c>
      <c r="E48" s="71"/>
      <c r="G48" s="37" t="s">
        <v>311</v>
      </c>
      <c r="K48" s="37" t="s">
        <v>334</v>
      </c>
      <c r="L48" s="310" t="b">
        <v>0</v>
      </c>
      <c r="U48" s="73"/>
    </row>
    <row r="49" spans="1:21">
      <c r="A49" s="61" t="s">
        <v>309</v>
      </c>
      <c r="E49" s="71"/>
      <c r="G49" s="37" t="s">
        <v>302</v>
      </c>
      <c r="H49" s="37" t="s">
        <v>303</v>
      </c>
      <c r="K49" s="37" t="s">
        <v>335</v>
      </c>
      <c r="L49" s="310" t="b">
        <v>0</v>
      </c>
      <c r="U49" s="73"/>
    </row>
    <row r="50" spans="1:21">
      <c r="A50" s="61" t="s">
        <v>310</v>
      </c>
      <c r="B50" s="37" t="s">
        <v>314</v>
      </c>
      <c r="D50" s="62">
        <v>11</v>
      </c>
      <c r="E50" s="71"/>
      <c r="G50" s="37" t="b">
        <v>0</v>
      </c>
      <c r="H50" s="37" t="b">
        <v>0</v>
      </c>
      <c r="K50" s="37" t="s">
        <v>245</v>
      </c>
      <c r="L50" s="310" t="b">
        <v>0</v>
      </c>
      <c r="U50" s="73"/>
    </row>
    <row r="51" spans="1:21">
      <c r="A51" s="64"/>
      <c r="B51" s="54" t="s">
        <v>313</v>
      </c>
      <c r="C51" s="54"/>
      <c r="D51" s="65">
        <v>3</v>
      </c>
      <c r="E51" s="55"/>
      <c r="K51" s="37" t="s">
        <v>244</v>
      </c>
      <c r="L51" s="310" t="b">
        <v>0</v>
      </c>
      <c r="U51" s="73"/>
    </row>
    <row r="52" spans="1:21">
      <c r="G52" s="37" t="s">
        <v>312</v>
      </c>
      <c r="K52" s="37" t="s">
        <v>51</v>
      </c>
      <c r="L52" s="310" t="b">
        <v>0</v>
      </c>
      <c r="U52" s="73"/>
    </row>
    <row r="53" spans="1:21">
      <c r="A53" s="36" t="s">
        <v>35</v>
      </c>
      <c r="G53" s="37" t="s">
        <v>301</v>
      </c>
      <c r="H53" s="37" t="s">
        <v>302</v>
      </c>
      <c r="I53" s="37" t="s">
        <v>303</v>
      </c>
      <c r="K53" s="37" t="s">
        <v>368</v>
      </c>
      <c r="L53" s="310" t="b">
        <v>0</v>
      </c>
      <c r="U53" s="73"/>
    </row>
    <row r="54" spans="1:21">
      <c r="A54" s="37" t="s">
        <v>318</v>
      </c>
      <c r="G54" s="37" t="b">
        <v>1</v>
      </c>
      <c r="H54" s="37" t="b">
        <v>0</v>
      </c>
      <c r="I54" s="37" t="b">
        <v>0</v>
      </c>
      <c r="K54" s="37" t="s">
        <v>53</v>
      </c>
      <c r="L54" s="310" t="b">
        <v>0</v>
      </c>
      <c r="U54" s="73"/>
    </row>
    <row r="55" spans="1:21">
      <c r="A55" s="37" t="s">
        <v>301</v>
      </c>
      <c r="B55" s="37" t="b">
        <v>0</v>
      </c>
      <c r="U55" s="73"/>
    </row>
    <row r="56" spans="1:21">
      <c r="A56" s="37" t="s">
        <v>323</v>
      </c>
      <c r="B56" s="37" t="b">
        <v>1</v>
      </c>
      <c r="U56" s="73"/>
    </row>
    <row r="57" spans="1:21">
      <c r="A57" s="37" t="s">
        <v>324</v>
      </c>
      <c r="B57" s="37" t="b">
        <v>0</v>
      </c>
      <c r="U57" s="73"/>
    </row>
    <row r="58" spans="1:21">
      <c r="A58" s="37" t="s">
        <v>325</v>
      </c>
      <c r="B58" s="37" t="b">
        <v>0</v>
      </c>
      <c r="U58" s="73"/>
    </row>
    <row r="59" spans="1:21">
      <c r="A59" s="37" t="s">
        <v>326</v>
      </c>
      <c r="B59" s="37" t="b">
        <v>0</v>
      </c>
      <c r="K59" s="37" t="s">
        <v>663</v>
      </c>
      <c r="U59" s="73"/>
    </row>
    <row r="60" spans="1:21">
      <c r="J60" s="37">
        <v>1</v>
      </c>
      <c r="K60" s="42">
        <v>0</v>
      </c>
      <c r="U60" s="73"/>
    </row>
    <row r="61" spans="1:21">
      <c r="A61" s="37" t="s">
        <v>319</v>
      </c>
      <c r="J61" s="37">
        <v>2</v>
      </c>
      <c r="K61" s="42">
        <v>0</v>
      </c>
      <c r="U61" s="73"/>
    </row>
    <row r="62" spans="1:21">
      <c r="A62" s="37" t="s">
        <v>321</v>
      </c>
      <c r="B62" s="62">
        <v>3</v>
      </c>
      <c r="J62" s="37">
        <v>3</v>
      </c>
      <c r="K62" s="42">
        <v>0</v>
      </c>
      <c r="U62" s="73"/>
    </row>
    <row r="63" spans="1:21">
      <c r="A63" s="37" t="s">
        <v>322</v>
      </c>
      <c r="B63" s="62">
        <v>4</v>
      </c>
      <c r="J63" s="37">
        <v>4</v>
      </c>
      <c r="K63" s="42">
        <v>0</v>
      </c>
      <c r="U63" s="73"/>
    </row>
    <row r="64" spans="1:21">
      <c r="A64" s="37" t="s">
        <v>320</v>
      </c>
      <c r="J64" s="37">
        <v>5</v>
      </c>
      <c r="K64" s="42">
        <v>0</v>
      </c>
      <c r="U64" s="73"/>
    </row>
    <row r="65" spans="1:21">
      <c r="A65" s="37" t="s">
        <v>321</v>
      </c>
      <c r="B65" s="62">
        <v>4</v>
      </c>
      <c r="J65" s="37">
        <v>6</v>
      </c>
      <c r="K65" s="42">
        <v>0</v>
      </c>
      <c r="U65" s="73"/>
    </row>
    <row r="66" spans="1:21">
      <c r="A66" s="37" t="s">
        <v>322</v>
      </c>
      <c r="B66" s="62">
        <v>6</v>
      </c>
      <c r="J66" s="37">
        <v>7</v>
      </c>
      <c r="K66" s="42">
        <v>0</v>
      </c>
      <c r="U66" s="73"/>
    </row>
    <row r="67" spans="1:21">
      <c r="J67" s="37">
        <v>8</v>
      </c>
      <c r="K67" s="42">
        <v>0</v>
      </c>
      <c r="U67" s="73"/>
    </row>
    <row r="68" spans="1:21">
      <c r="A68" s="36" t="s">
        <v>342</v>
      </c>
      <c r="J68" s="37">
        <v>9</v>
      </c>
      <c r="K68" s="42">
        <v>0</v>
      </c>
      <c r="U68" s="73"/>
    </row>
    <row r="69" spans="1:21">
      <c r="A69" s="37" t="s">
        <v>343</v>
      </c>
      <c r="J69" s="37">
        <v>10</v>
      </c>
      <c r="K69" s="42">
        <v>0</v>
      </c>
      <c r="U69" s="73"/>
    </row>
    <row r="70" spans="1:21">
      <c r="A70" s="37" t="s">
        <v>333</v>
      </c>
      <c r="J70" s="37">
        <v>11</v>
      </c>
      <c r="K70" s="42">
        <v>0</v>
      </c>
      <c r="U70" s="73"/>
    </row>
    <row r="71" spans="1:21">
      <c r="A71" s="37" t="s">
        <v>344</v>
      </c>
      <c r="B71" s="37" t="b">
        <v>1</v>
      </c>
      <c r="J71" s="37">
        <v>12</v>
      </c>
      <c r="K71" s="42">
        <v>0</v>
      </c>
      <c r="U71" s="73"/>
    </row>
    <row r="72" spans="1:21">
      <c r="A72" s="37" t="s">
        <v>345</v>
      </c>
      <c r="B72" s="37" t="b">
        <v>0</v>
      </c>
      <c r="J72" s="37">
        <v>13</v>
      </c>
      <c r="K72" s="42">
        <v>0</v>
      </c>
      <c r="U72" s="73"/>
    </row>
    <row r="73" spans="1:21">
      <c r="A73" s="37" t="s">
        <v>303</v>
      </c>
      <c r="B73" s="37" t="b">
        <v>0</v>
      </c>
      <c r="J73" s="37">
        <v>14</v>
      </c>
      <c r="K73" s="42">
        <v>0</v>
      </c>
      <c r="U73" s="73"/>
    </row>
    <row r="74" spans="1:21">
      <c r="J74" s="37">
        <v>15</v>
      </c>
      <c r="K74" s="42">
        <v>0</v>
      </c>
      <c r="U74" s="73"/>
    </row>
    <row r="75" spans="1:21">
      <c r="A75" s="37" t="s">
        <v>334</v>
      </c>
      <c r="J75" s="37">
        <v>16</v>
      </c>
      <c r="K75" s="42">
        <v>0</v>
      </c>
      <c r="U75" s="73"/>
    </row>
    <row r="76" spans="1:21">
      <c r="A76" s="37" t="s">
        <v>344</v>
      </c>
      <c r="B76" s="37" t="b">
        <v>1</v>
      </c>
      <c r="J76" s="37">
        <v>17</v>
      </c>
      <c r="K76" s="42">
        <v>0</v>
      </c>
      <c r="U76" s="73"/>
    </row>
    <row r="77" spans="1:21">
      <c r="A77" s="37" t="s">
        <v>345</v>
      </c>
      <c r="B77" s="37" t="b">
        <v>0</v>
      </c>
      <c r="J77" s="37">
        <v>18</v>
      </c>
      <c r="K77" s="42">
        <v>0</v>
      </c>
      <c r="U77" s="73"/>
    </row>
    <row r="78" spans="1:21">
      <c r="A78" s="37" t="s">
        <v>303</v>
      </c>
      <c r="B78" s="37" t="b">
        <v>0</v>
      </c>
      <c r="J78" s="37">
        <v>19</v>
      </c>
      <c r="K78" s="42">
        <v>0</v>
      </c>
      <c r="U78" s="73"/>
    </row>
    <row r="79" spans="1:21">
      <c r="J79" s="37">
        <v>20</v>
      </c>
      <c r="K79" s="42">
        <v>0</v>
      </c>
      <c r="U79" s="73"/>
    </row>
    <row r="80" spans="1:21">
      <c r="A80" s="37" t="s">
        <v>335</v>
      </c>
      <c r="J80" s="37">
        <v>21</v>
      </c>
      <c r="K80" s="42">
        <v>0</v>
      </c>
      <c r="U80" s="73"/>
    </row>
    <row r="81" spans="1:21">
      <c r="A81" s="37" t="s">
        <v>344</v>
      </c>
      <c r="B81" s="37" t="b">
        <v>1</v>
      </c>
      <c r="J81" s="37">
        <v>22</v>
      </c>
      <c r="K81" s="42">
        <v>0</v>
      </c>
      <c r="U81" s="73"/>
    </row>
    <row r="82" spans="1:21">
      <c r="A82" s="37" t="s">
        <v>345</v>
      </c>
      <c r="B82" s="37" t="b">
        <v>0</v>
      </c>
      <c r="J82" s="37">
        <v>23</v>
      </c>
      <c r="K82" s="42">
        <v>0</v>
      </c>
      <c r="U82" s="73"/>
    </row>
    <row r="83" spans="1:21">
      <c r="A83" s="37" t="s">
        <v>303</v>
      </c>
      <c r="B83" s="37" t="b">
        <v>0</v>
      </c>
      <c r="J83" s="37">
        <v>24</v>
      </c>
      <c r="K83" s="42">
        <v>0</v>
      </c>
      <c r="U83" s="73"/>
    </row>
    <row r="84" spans="1:21">
      <c r="U84" s="73"/>
    </row>
    <row r="85" spans="1:21">
      <c r="A85" s="37" t="s">
        <v>350</v>
      </c>
      <c r="U85" s="73"/>
    </row>
    <row r="86" spans="1:21">
      <c r="A86" s="37" t="s">
        <v>346</v>
      </c>
      <c r="U86" s="73"/>
    </row>
    <row r="87" spans="1:21">
      <c r="A87" s="37" t="s">
        <v>347</v>
      </c>
      <c r="B87" s="62">
        <v>7</v>
      </c>
      <c r="U87" s="73"/>
    </row>
    <row r="88" spans="1:21">
      <c r="A88" s="37" t="s">
        <v>348</v>
      </c>
      <c r="B88" s="62">
        <v>9</v>
      </c>
      <c r="U88" s="73"/>
    </row>
    <row r="89" spans="1:21">
      <c r="U89" s="73"/>
    </row>
    <row r="90" spans="1:21">
      <c r="A90" s="37" t="s">
        <v>349</v>
      </c>
      <c r="U90" s="73"/>
    </row>
    <row r="91" spans="1:21">
      <c r="A91" s="37" t="s">
        <v>347</v>
      </c>
      <c r="B91" s="62">
        <v>1</v>
      </c>
      <c r="U91" s="73"/>
    </row>
    <row r="92" spans="1:21">
      <c r="A92" s="37" t="s">
        <v>348</v>
      </c>
      <c r="B92" s="62">
        <v>3</v>
      </c>
      <c r="U92" s="73"/>
    </row>
    <row r="93" spans="1:21">
      <c r="U93" s="73"/>
    </row>
    <row r="94" spans="1:21">
      <c r="A94" s="37" t="s">
        <v>335</v>
      </c>
      <c r="U94" s="73"/>
    </row>
    <row r="95" spans="1:21">
      <c r="A95" s="37" t="s">
        <v>347</v>
      </c>
      <c r="B95" s="62">
        <v>6</v>
      </c>
      <c r="U95" s="73"/>
    </row>
    <row r="96" spans="1:21">
      <c r="A96" s="37" t="s">
        <v>348</v>
      </c>
      <c r="B96" s="62">
        <v>12</v>
      </c>
      <c r="U96" s="73"/>
    </row>
    <row r="97" spans="1:21">
      <c r="U97" s="73"/>
    </row>
    <row r="98" spans="1:21">
      <c r="A98" s="36" t="s">
        <v>369</v>
      </c>
      <c r="U98" s="73"/>
    </row>
    <row r="99" spans="1:21">
      <c r="A99" s="37" t="s">
        <v>344</v>
      </c>
      <c r="B99" s="37" t="b">
        <v>1</v>
      </c>
      <c r="U99" s="73"/>
    </row>
    <row r="100" spans="1:21">
      <c r="A100" s="37" t="s">
        <v>345</v>
      </c>
      <c r="B100" s="37" t="b">
        <v>0</v>
      </c>
      <c r="U100" s="73"/>
    </row>
    <row r="101" spans="1:21">
      <c r="A101" s="37" t="s">
        <v>303</v>
      </c>
      <c r="B101" s="37" t="b">
        <v>0</v>
      </c>
      <c r="U101" s="73"/>
    </row>
    <row r="102" spans="1:21">
      <c r="A102" s="37" t="s">
        <v>370</v>
      </c>
      <c r="B102" s="62">
        <v>2</v>
      </c>
      <c r="E102" s="47"/>
      <c r="U102" s="73"/>
    </row>
    <row r="103" spans="1:21">
      <c r="A103" s="37" t="s">
        <v>371</v>
      </c>
      <c r="B103" s="62">
        <v>6</v>
      </c>
      <c r="E103" s="47"/>
      <c r="U103" s="73"/>
    </row>
    <row r="104" spans="1:21">
      <c r="E104" s="75"/>
      <c r="U104" s="73"/>
    </row>
    <row r="105" spans="1:21">
      <c r="E105" s="75"/>
      <c r="U105" s="73"/>
    </row>
    <row r="106" spans="1:21">
      <c r="E106" s="47"/>
      <c r="U106" s="73"/>
    </row>
    <row r="107" spans="1:21">
      <c r="E107" s="47"/>
      <c r="U107" s="73"/>
    </row>
    <row r="108" spans="1:21">
      <c r="E108" s="47"/>
      <c r="U108" s="73"/>
    </row>
    <row r="109" spans="1:21">
      <c r="U109" s="73"/>
    </row>
    <row r="110" spans="1:21">
      <c r="U110" s="73"/>
    </row>
    <row r="111" spans="1:21">
      <c r="U111" s="73"/>
    </row>
    <row r="112" spans="1:21">
      <c r="A112" s="47" t="s">
        <v>26</v>
      </c>
      <c r="B112" s="47"/>
      <c r="C112" s="47"/>
      <c r="D112" s="47"/>
      <c r="U112" s="73"/>
    </row>
    <row r="113" spans="1:21">
      <c r="A113" s="47"/>
      <c r="B113" s="74" t="s">
        <v>28</v>
      </c>
      <c r="C113" s="47"/>
      <c r="D113" s="47"/>
      <c r="U113" s="73"/>
    </row>
    <row r="114" spans="1:21">
      <c r="A114" s="47" t="s">
        <v>251</v>
      </c>
      <c r="B114" s="78">
        <f>SUBTOTAL(106,'Step 3. FA Balance'!I15,'Step 3. FA Balance'!J15)</f>
        <v>0</v>
      </c>
      <c r="C114" s="77"/>
      <c r="D114" s="47"/>
      <c r="U114" s="73"/>
    </row>
    <row r="115" spans="1:21">
      <c r="A115" s="47" t="s">
        <v>252</v>
      </c>
      <c r="B115" s="78">
        <f>SUBTOTAL(106,'Step 3. FA Balance'!I17,'Step 3. FA Balance'!J17)</f>
        <v>0</v>
      </c>
      <c r="C115" s="77"/>
      <c r="D115" s="47"/>
      <c r="U115" s="73"/>
    </row>
    <row r="116" spans="1:21">
      <c r="A116" s="47" t="s">
        <v>253</v>
      </c>
      <c r="B116" s="78">
        <f>SUBTOTAL(106,'Step 3. FA Balance'!I19,'Step 3. FA Balance'!J19)</f>
        <v>0</v>
      </c>
      <c r="C116" s="77"/>
      <c r="D116" s="47"/>
      <c r="U116" s="73"/>
    </row>
    <row r="117" spans="1:21">
      <c r="A117" s="76" t="s">
        <v>245</v>
      </c>
      <c r="B117" s="37">
        <f t="array" ref="B117">AVERAGE(IF(Calculations!A25:L25&lt;&gt;0,Calculations!A25:L25,""))</f>
        <v>766.41666666666663</v>
      </c>
      <c r="C117" s="77">
        <f>SUBTOTAL(106,'Step 3. FA Balance'!J21,'Step 3. FA Balance'!I21)</f>
        <v>0</v>
      </c>
      <c r="D117" s="47"/>
    </row>
    <row r="118" spans="1:21">
      <c r="A118" s="76" t="s">
        <v>244</v>
      </c>
      <c r="B118" s="37">
        <f t="array" ref="B118">AVERAGE(IF(Calculations!A28:L28&lt;&gt;0,Calculations!A28:L28,""))</f>
        <v>1183.2083333333333</v>
      </c>
      <c r="C118" s="77">
        <f>SUBTOTAL(106,'Step 3. FA Balance'!J23,'Step 3. FA Balance'!I23)</f>
        <v>0</v>
      </c>
      <c r="D118" s="47"/>
    </row>
    <row r="119" spans="1:21">
      <c r="A119" s="76" t="s">
        <v>254</v>
      </c>
      <c r="B119" s="78">
        <f>SUBTOTAL(106,'Step 3. FA Balance'!I25,'Step 3. FA Balance'!J25)</f>
        <v>0</v>
      </c>
      <c r="C119" s="77"/>
      <c r="D119" s="47"/>
      <c r="E119" s="47"/>
    </row>
    <row r="120" spans="1:21">
      <c r="A120" s="76" t="s">
        <v>255</v>
      </c>
      <c r="B120" s="78">
        <f>SUBTOTAL(106,'Step 3. FA Balance'!I31,'Step 3. FA Balance'!J31)+SUBTOTAL(106,'Step 3. FA Balance'!I29,'Step 3. FA Balance'!J29)</f>
        <v>0</v>
      </c>
      <c r="C120" s="77"/>
      <c r="D120" s="47"/>
      <c r="E120" s="47"/>
    </row>
    <row r="121" spans="1:21">
      <c r="A121" s="76" t="s">
        <v>35</v>
      </c>
      <c r="B121" s="78">
        <f>SUBTOTAL(106,'Step 3. FA Balance'!I33,'Step 3. FA Balance'!J33)</f>
        <v>0</v>
      </c>
      <c r="C121" s="77"/>
      <c r="D121" s="47"/>
      <c r="E121" s="47"/>
    </row>
    <row r="122" spans="1:21">
      <c r="A122" s="76" t="s">
        <v>51</v>
      </c>
      <c r="B122" s="78">
        <f>SUBTOTAL(106,'Step 3. FA Balance'!I35,'Step 3. FA Balance'!J35)</f>
        <v>0</v>
      </c>
      <c r="C122" s="77"/>
      <c r="D122" s="47"/>
      <c r="E122" s="47"/>
    </row>
    <row r="123" spans="1:21">
      <c r="A123" s="76" t="s">
        <v>53</v>
      </c>
      <c r="B123" s="78">
        <f>SUBTOTAL(106,'Step 3. FA Balance'!I37,'Step 3. FA Balance'!J37)</f>
        <v>0</v>
      </c>
      <c r="C123" s="77"/>
      <c r="D123" s="47"/>
      <c r="E123" s="47"/>
    </row>
    <row r="124" spans="1:21">
      <c r="A124" s="76" t="s">
        <v>54</v>
      </c>
      <c r="B124" s="78">
        <f>SUBTOTAL(106,'Step 3. FA Balance'!I39,'Step 3. FA Balance'!J39)</f>
        <v>0</v>
      </c>
      <c r="C124" s="77"/>
      <c r="D124" s="47"/>
    </row>
    <row r="125" spans="1:21">
      <c r="A125" s="47" t="s">
        <v>67</v>
      </c>
      <c r="B125" s="78">
        <f>B114+B115+B116+B121+B122+B123+B124+C117+C118+B119+B120</f>
        <v>0</v>
      </c>
      <c r="C125" s="77"/>
      <c r="D125" s="47"/>
    </row>
    <row r="126" spans="1:21">
      <c r="A126" s="47"/>
      <c r="B126" s="78"/>
      <c r="C126" s="77"/>
      <c r="D126" s="47"/>
    </row>
    <row r="127" spans="1:21">
      <c r="A127" s="47" t="s">
        <v>262</v>
      </c>
      <c r="B127" s="78">
        <f>IF('Step 3. FA Balance'!I41=0,0,B125/'Step 3. FA Balance'!I41)</f>
        <v>0</v>
      </c>
      <c r="C127" s="77"/>
      <c r="D127" s="47"/>
    </row>
    <row r="128" spans="1:21">
      <c r="A128" s="47"/>
      <c r="B128" s="47"/>
      <c r="C128" s="47"/>
      <c r="D128" s="47"/>
    </row>
    <row r="129" spans="1:4">
      <c r="A129" s="47" t="s">
        <v>75</v>
      </c>
      <c r="B129" s="47" t="e">
        <f>SUM('Step 3. FA Balance'!M103:M149)/SUM('Step 3. FA Balance'!K103:K149)*100</f>
        <v>#DIV/0!</v>
      </c>
      <c r="C129" s="47"/>
      <c r="D129" s="47"/>
    </row>
    <row r="130" spans="1:4">
      <c r="C130" s="47"/>
      <c r="D130" s="47"/>
    </row>
    <row r="131" spans="1:4">
      <c r="C131" s="47"/>
      <c r="D131" s="47"/>
    </row>
    <row r="132" spans="1:4">
      <c r="C132" s="47"/>
      <c r="D132" s="47"/>
    </row>
    <row r="133" spans="1:4">
      <c r="C133" s="47"/>
      <c r="D133" s="4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2332C-0B2A-4673-8137-A8A6A19BB11A}">
  <sheetPr codeName="Sheet13"/>
  <dimension ref="A1:Y139"/>
  <sheetViews>
    <sheetView workbookViewId="0">
      <selection activeCell="B8" sqref="B8"/>
    </sheetView>
  </sheetViews>
  <sheetFormatPr baseColWidth="10" defaultColWidth="8.83203125" defaultRowHeight="14"/>
  <cols>
    <col min="2" max="2" width="12.83203125" customWidth="1"/>
    <col min="3" max="3" width="15.5" customWidth="1"/>
  </cols>
  <sheetData>
    <row r="1" spans="1:25">
      <c r="A1" s="188"/>
      <c r="B1" s="188"/>
      <c r="C1" s="188"/>
      <c r="D1" s="188"/>
      <c r="E1" s="188"/>
      <c r="F1" s="188"/>
      <c r="G1" s="188"/>
      <c r="H1" s="188"/>
      <c r="I1" s="188"/>
      <c r="J1" s="188"/>
      <c r="K1" s="188"/>
      <c r="L1" s="188"/>
      <c r="M1" s="188"/>
      <c r="N1" s="188"/>
      <c r="O1" s="188"/>
      <c r="P1" s="188"/>
      <c r="Q1" s="188"/>
      <c r="R1" s="188"/>
      <c r="S1" s="188"/>
      <c r="T1" s="188"/>
      <c r="U1" s="188"/>
      <c r="V1" s="188"/>
      <c r="W1" s="188"/>
      <c r="X1" s="188"/>
      <c r="Y1" s="188"/>
    </row>
    <row r="2" spans="1:25" ht="16">
      <c r="A2" s="188"/>
      <c r="B2" s="189" t="s">
        <v>377</v>
      </c>
      <c r="C2" s="188"/>
      <c r="D2" s="188"/>
      <c r="E2" s="188"/>
      <c r="F2" s="188"/>
      <c r="G2" s="188"/>
      <c r="H2" s="188"/>
      <c r="I2" s="188"/>
      <c r="J2" s="188"/>
      <c r="K2" s="188"/>
      <c r="L2" s="188"/>
      <c r="M2" s="188"/>
      <c r="N2" s="188"/>
      <c r="O2" s="188"/>
      <c r="P2" s="188"/>
      <c r="Q2" s="188"/>
      <c r="R2" s="188"/>
      <c r="S2" s="188"/>
      <c r="T2" s="188"/>
      <c r="U2" s="188"/>
      <c r="V2" s="188"/>
      <c r="W2" s="188"/>
      <c r="X2" s="188"/>
      <c r="Y2" s="188"/>
    </row>
    <row r="3" spans="1:25" ht="44.25" customHeight="1">
      <c r="A3" s="188"/>
      <c r="B3" s="2562" t="s">
        <v>379</v>
      </c>
      <c r="C3" s="2562"/>
      <c r="D3" s="2562"/>
      <c r="E3" s="2562"/>
      <c r="F3" s="2562"/>
      <c r="G3" s="2562"/>
      <c r="H3" s="2562"/>
      <c r="I3" s="2562"/>
      <c r="J3" s="2562"/>
      <c r="K3" s="2562"/>
      <c r="L3" s="2562"/>
      <c r="M3" s="2562"/>
      <c r="N3" s="2562"/>
      <c r="O3" s="188"/>
      <c r="P3" s="188"/>
      <c r="Q3" s="188"/>
      <c r="R3" s="188"/>
      <c r="S3" s="188"/>
      <c r="T3" s="188"/>
      <c r="U3" s="188"/>
      <c r="V3" s="188"/>
      <c r="W3" s="188"/>
      <c r="X3" s="188"/>
      <c r="Y3" s="188"/>
    </row>
    <row r="4" spans="1:25" ht="34.5" customHeight="1">
      <c r="A4" s="188"/>
      <c r="B4" s="2562" t="s">
        <v>378</v>
      </c>
      <c r="C4" s="2562"/>
      <c r="D4" s="2562"/>
      <c r="E4" s="2562"/>
      <c r="F4" s="2562"/>
      <c r="G4" s="2562"/>
      <c r="H4" s="2562"/>
      <c r="I4" s="2562"/>
      <c r="J4" s="2562"/>
      <c r="K4" s="2562"/>
      <c r="L4" s="2562"/>
      <c r="M4" s="2562"/>
      <c r="N4" s="2562"/>
      <c r="O4" s="188"/>
      <c r="P4" s="188"/>
      <c r="Q4" s="188"/>
      <c r="R4" s="188"/>
      <c r="S4" s="188"/>
      <c r="T4" s="188"/>
      <c r="U4" s="188"/>
      <c r="V4" s="188"/>
      <c r="W4" s="188"/>
      <c r="X4" s="188"/>
      <c r="Y4" s="188"/>
    </row>
    <row r="5" spans="1:25">
      <c r="A5" s="188"/>
      <c r="B5" s="188"/>
      <c r="C5" s="188"/>
      <c r="D5" s="188"/>
      <c r="E5" s="188"/>
      <c r="F5" s="188"/>
      <c r="G5" s="188"/>
      <c r="H5" s="188"/>
      <c r="I5" s="188"/>
      <c r="J5" s="188"/>
      <c r="K5" s="188"/>
      <c r="L5" s="188"/>
      <c r="M5" s="188"/>
      <c r="N5" s="188"/>
      <c r="O5" s="188"/>
      <c r="P5" s="188"/>
      <c r="Q5" s="188"/>
      <c r="R5" s="188"/>
      <c r="S5" s="188"/>
      <c r="T5" s="188"/>
      <c r="U5" s="188"/>
      <c r="V5" s="188"/>
      <c r="W5" s="188"/>
      <c r="X5" s="188"/>
      <c r="Y5" s="188"/>
    </row>
    <row r="6" spans="1:25" ht="27.75" customHeight="1">
      <c r="A6" s="188"/>
      <c r="B6" s="188"/>
      <c r="C6" s="188"/>
      <c r="D6" s="188"/>
      <c r="E6" s="188"/>
      <c r="F6" s="188"/>
      <c r="G6" s="188"/>
      <c r="H6" s="188"/>
      <c r="I6" s="188"/>
      <c r="J6" s="188"/>
      <c r="K6" s="188"/>
      <c r="L6" s="188"/>
      <c r="M6" s="188"/>
      <c r="N6" s="188"/>
      <c r="O6" s="188"/>
      <c r="P6" s="188"/>
      <c r="Q6" s="188"/>
      <c r="R6" s="188"/>
      <c r="S6" s="188"/>
      <c r="T6" s="188"/>
      <c r="U6" s="188"/>
      <c r="V6" s="188"/>
      <c r="W6" s="188"/>
      <c r="X6" s="188"/>
      <c r="Y6" s="188"/>
    </row>
    <row r="7" spans="1:25" ht="15" thickBot="1">
      <c r="A7" s="188"/>
      <c r="B7" s="188"/>
      <c r="C7" s="188"/>
      <c r="D7" s="188"/>
      <c r="E7" s="188"/>
      <c r="F7" s="188"/>
      <c r="G7" s="188"/>
      <c r="H7" s="188"/>
      <c r="I7" s="188"/>
      <c r="J7" s="188"/>
      <c r="K7" s="188"/>
      <c r="L7" s="188"/>
      <c r="M7" s="188"/>
      <c r="N7" s="188"/>
      <c r="O7" s="188"/>
      <c r="P7" s="188"/>
      <c r="Q7" s="188"/>
      <c r="R7" s="188"/>
      <c r="S7" s="188"/>
      <c r="T7" s="188"/>
      <c r="U7" s="188"/>
      <c r="V7" s="188"/>
      <c r="W7" s="188"/>
      <c r="X7" s="188"/>
      <c r="Y7" s="188"/>
    </row>
    <row r="8" spans="1:25" ht="52" thickBot="1">
      <c r="A8" s="188"/>
      <c r="B8" s="181" t="s">
        <v>375</v>
      </c>
      <c r="C8" s="182" t="s">
        <v>376</v>
      </c>
      <c r="D8" s="188"/>
      <c r="E8" s="188"/>
      <c r="F8" s="188"/>
      <c r="G8" s="188"/>
      <c r="H8" s="188"/>
      <c r="I8" s="188"/>
      <c r="J8" s="188"/>
      <c r="K8" s="188"/>
      <c r="L8" s="188"/>
      <c r="M8" s="188"/>
      <c r="N8" s="188"/>
      <c r="O8" s="188"/>
      <c r="P8" s="188"/>
      <c r="Q8" s="188"/>
      <c r="R8" s="188"/>
      <c r="S8" s="188"/>
      <c r="T8" s="188"/>
      <c r="U8" s="188"/>
      <c r="V8" s="188"/>
      <c r="W8" s="188"/>
      <c r="X8" s="188"/>
      <c r="Y8" s="188"/>
    </row>
    <row r="9" spans="1:25" ht="16">
      <c r="A9" s="188"/>
      <c r="B9" s="183">
        <v>1</v>
      </c>
      <c r="C9" s="185">
        <v>25</v>
      </c>
      <c r="D9" s="188"/>
      <c r="E9" s="188"/>
      <c r="F9" s="188"/>
      <c r="G9" s="188"/>
      <c r="H9" s="188"/>
      <c r="I9" s="188"/>
      <c r="J9" s="188"/>
      <c r="K9" s="188"/>
      <c r="L9" s="188"/>
      <c r="M9" s="188"/>
      <c r="N9" s="188"/>
      <c r="O9" s="188"/>
      <c r="P9" s="188"/>
      <c r="Q9" s="188"/>
      <c r="R9" s="188"/>
      <c r="S9" s="188"/>
      <c r="T9" s="188"/>
      <c r="U9" s="188"/>
      <c r="V9" s="188"/>
      <c r="W9" s="188"/>
      <c r="X9" s="188"/>
      <c r="Y9" s="188"/>
    </row>
    <row r="10" spans="1:25" ht="16">
      <c r="A10" s="188"/>
      <c r="B10" s="183">
        <v>2</v>
      </c>
      <c r="C10" s="186">
        <v>28</v>
      </c>
      <c r="D10" s="188"/>
      <c r="E10" s="188"/>
      <c r="F10" s="188"/>
      <c r="G10" s="188"/>
      <c r="H10" s="188"/>
      <c r="I10" s="188"/>
      <c r="J10" s="188"/>
      <c r="K10" s="188"/>
      <c r="L10" s="188"/>
      <c r="M10" s="188"/>
      <c r="N10" s="188"/>
      <c r="O10" s="188"/>
      <c r="P10" s="188"/>
      <c r="Q10" s="188"/>
      <c r="R10" s="188"/>
      <c r="S10" s="188"/>
      <c r="T10" s="188"/>
      <c r="U10" s="188"/>
      <c r="V10" s="188"/>
      <c r="W10" s="188"/>
      <c r="X10" s="188"/>
      <c r="Y10" s="188"/>
    </row>
    <row r="11" spans="1:25" ht="16">
      <c r="A11" s="188"/>
      <c r="B11" s="183">
        <v>3</v>
      </c>
      <c r="C11" s="186">
        <v>32</v>
      </c>
      <c r="D11" s="188"/>
      <c r="E11" s="188"/>
      <c r="F11" s="188"/>
      <c r="G11" s="188"/>
      <c r="H11" s="188"/>
      <c r="I11" s="188"/>
      <c r="J11" s="188"/>
      <c r="K11" s="188"/>
      <c r="L11" s="188"/>
      <c r="M11" s="188"/>
      <c r="N11" s="188"/>
      <c r="O11" s="188"/>
      <c r="P11" s="188"/>
      <c r="Q11" s="188"/>
      <c r="R11" s="188"/>
      <c r="S11" s="188"/>
      <c r="T11" s="188"/>
      <c r="U11" s="188"/>
      <c r="V11" s="188"/>
      <c r="W11" s="188"/>
      <c r="X11" s="188"/>
      <c r="Y11" s="188"/>
    </row>
    <row r="12" spans="1:25" ht="16">
      <c r="A12" s="188"/>
      <c r="B12" s="183">
        <v>4</v>
      </c>
      <c r="C12" s="186">
        <v>35</v>
      </c>
      <c r="D12" s="188"/>
      <c r="E12" s="188"/>
      <c r="F12" s="188"/>
      <c r="G12" s="188"/>
      <c r="H12" s="188"/>
      <c r="I12" s="188"/>
      <c r="J12" s="188"/>
      <c r="K12" s="188"/>
      <c r="L12" s="188"/>
      <c r="M12" s="188"/>
      <c r="N12" s="188"/>
      <c r="O12" s="188"/>
      <c r="P12" s="188"/>
      <c r="Q12" s="188"/>
      <c r="R12" s="188"/>
      <c r="S12" s="188"/>
      <c r="T12" s="188"/>
      <c r="U12" s="188"/>
      <c r="V12" s="188"/>
      <c r="W12" s="188"/>
      <c r="X12" s="188"/>
      <c r="Y12" s="188"/>
    </row>
    <row r="13" spans="1:25" ht="16">
      <c r="A13" s="188"/>
      <c r="B13" s="183">
        <v>5</v>
      </c>
      <c r="C13" s="186">
        <v>38</v>
      </c>
      <c r="D13" s="188"/>
      <c r="E13" s="188"/>
      <c r="F13" s="188"/>
      <c r="G13" s="188"/>
      <c r="H13" s="188"/>
      <c r="I13" s="188"/>
      <c r="J13" s="188"/>
      <c r="K13" s="188"/>
      <c r="L13" s="188"/>
      <c r="M13" s="188"/>
      <c r="N13" s="188"/>
      <c r="O13" s="188"/>
      <c r="P13" s="188"/>
      <c r="Q13" s="188"/>
      <c r="R13" s="188"/>
      <c r="S13" s="188"/>
      <c r="T13" s="188"/>
      <c r="U13" s="188"/>
      <c r="V13" s="188"/>
      <c r="W13" s="188"/>
      <c r="X13" s="188"/>
      <c r="Y13" s="188"/>
    </row>
    <row r="14" spans="1:25" ht="16">
      <c r="A14" s="188"/>
      <c r="B14" s="183">
        <v>6</v>
      </c>
      <c r="C14" s="186">
        <v>41</v>
      </c>
      <c r="D14" s="188"/>
      <c r="E14" s="188"/>
      <c r="F14" s="188"/>
      <c r="G14" s="188"/>
      <c r="H14" s="188"/>
      <c r="I14" s="188"/>
      <c r="J14" s="188"/>
      <c r="K14" s="188"/>
      <c r="L14" s="188"/>
      <c r="M14" s="188"/>
      <c r="N14" s="188"/>
      <c r="O14" s="188"/>
      <c r="P14" s="188"/>
      <c r="Q14" s="188"/>
      <c r="R14" s="188"/>
      <c r="S14" s="188"/>
      <c r="T14" s="188"/>
      <c r="U14" s="188"/>
      <c r="V14" s="188"/>
      <c r="W14" s="188"/>
      <c r="X14" s="188"/>
      <c r="Y14" s="188"/>
    </row>
    <row r="15" spans="1:25" ht="16">
      <c r="A15" s="188"/>
      <c r="B15" s="183">
        <v>7</v>
      </c>
      <c r="C15" s="186">
        <v>43</v>
      </c>
      <c r="D15" s="188"/>
      <c r="E15" s="188"/>
      <c r="F15" s="188"/>
      <c r="G15" s="188"/>
      <c r="H15" s="188"/>
      <c r="I15" s="188"/>
      <c r="J15" s="188"/>
      <c r="K15" s="188"/>
      <c r="L15" s="188"/>
      <c r="M15" s="188"/>
      <c r="N15" s="188"/>
      <c r="O15" s="188"/>
      <c r="P15" s="188"/>
      <c r="Q15" s="188"/>
      <c r="R15" s="188"/>
      <c r="S15" s="188"/>
      <c r="T15" s="188"/>
      <c r="U15" s="188"/>
      <c r="V15" s="188"/>
      <c r="W15" s="188"/>
      <c r="X15" s="188"/>
      <c r="Y15" s="188"/>
    </row>
    <row r="16" spans="1:25" ht="16">
      <c r="A16" s="188"/>
      <c r="B16" s="183">
        <v>8</v>
      </c>
      <c r="C16" s="186">
        <v>50</v>
      </c>
      <c r="D16" s="188"/>
      <c r="E16" s="188"/>
      <c r="F16" s="188"/>
      <c r="G16" s="188"/>
      <c r="H16" s="188"/>
      <c r="I16" s="188"/>
      <c r="J16" s="188"/>
      <c r="K16" s="188"/>
      <c r="L16" s="188"/>
      <c r="M16" s="188"/>
      <c r="N16" s="188"/>
      <c r="O16" s="188"/>
      <c r="P16" s="188"/>
      <c r="Q16" s="188"/>
      <c r="R16" s="188"/>
      <c r="S16" s="188"/>
      <c r="T16" s="188"/>
      <c r="U16" s="188"/>
      <c r="V16" s="188"/>
      <c r="W16" s="188"/>
      <c r="X16" s="188"/>
      <c r="Y16" s="188"/>
    </row>
    <row r="17" spans="1:25" ht="16">
      <c r="A17" s="188"/>
      <c r="B17" s="183">
        <v>9</v>
      </c>
      <c r="C17" s="186">
        <v>51</v>
      </c>
      <c r="D17" s="188"/>
      <c r="E17" s="188"/>
      <c r="F17" s="188"/>
      <c r="G17" s="188"/>
      <c r="H17" s="188"/>
      <c r="I17" s="188"/>
      <c r="J17" s="188"/>
      <c r="K17" s="188"/>
      <c r="L17" s="188"/>
      <c r="M17" s="188"/>
      <c r="N17" s="188"/>
      <c r="O17" s="188"/>
      <c r="P17" s="188"/>
      <c r="Q17" s="188"/>
      <c r="R17" s="188"/>
      <c r="S17" s="188"/>
      <c r="T17" s="188"/>
      <c r="U17" s="188"/>
      <c r="V17" s="188"/>
      <c r="W17" s="188"/>
      <c r="X17" s="188"/>
      <c r="Y17" s="188"/>
    </row>
    <row r="18" spans="1:25" ht="16">
      <c r="A18" s="188"/>
      <c r="B18" s="183">
        <v>10</v>
      </c>
      <c r="C18" s="186">
        <v>55</v>
      </c>
      <c r="D18" s="188"/>
      <c r="E18" s="188"/>
      <c r="F18" s="188"/>
      <c r="G18" s="188"/>
      <c r="H18" s="188"/>
      <c r="I18" s="188"/>
      <c r="J18" s="188"/>
      <c r="K18" s="188"/>
      <c r="L18" s="188"/>
      <c r="M18" s="188"/>
      <c r="N18" s="188"/>
      <c r="O18" s="188"/>
      <c r="P18" s="188"/>
      <c r="Q18" s="188"/>
      <c r="R18" s="188"/>
      <c r="S18" s="188"/>
      <c r="T18" s="188"/>
      <c r="U18" s="188"/>
      <c r="V18" s="188"/>
      <c r="W18" s="188"/>
      <c r="X18" s="188"/>
      <c r="Y18" s="188"/>
    </row>
    <row r="19" spans="1:25" ht="16">
      <c r="A19" s="188"/>
      <c r="B19" s="183">
        <v>11</v>
      </c>
      <c r="C19" s="186">
        <v>60</v>
      </c>
      <c r="D19" s="188"/>
      <c r="E19" s="188"/>
      <c r="F19" s="188"/>
      <c r="G19" s="188"/>
      <c r="H19" s="188"/>
      <c r="I19" s="188"/>
      <c r="J19" s="188"/>
      <c r="K19" s="188"/>
      <c r="L19" s="188"/>
      <c r="M19" s="188"/>
      <c r="N19" s="188"/>
      <c r="O19" s="188"/>
      <c r="P19" s="188"/>
      <c r="Q19" s="188"/>
      <c r="R19" s="188"/>
      <c r="S19" s="188"/>
      <c r="T19" s="188"/>
      <c r="U19" s="188"/>
      <c r="V19" s="188"/>
      <c r="W19" s="188"/>
      <c r="X19" s="188"/>
      <c r="Y19" s="188"/>
    </row>
    <row r="20" spans="1:25" ht="16">
      <c r="A20" s="188"/>
      <c r="B20" s="183">
        <v>12</v>
      </c>
      <c r="C20" s="186">
        <v>63</v>
      </c>
      <c r="D20" s="188"/>
      <c r="E20" s="188"/>
      <c r="F20" s="188"/>
      <c r="G20" s="188"/>
      <c r="H20" s="188"/>
      <c r="I20" s="188"/>
      <c r="J20" s="188"/>
      <c r="K20" s="188"/>
      <c r="L20" s="188"/>
      <c r="M20" s="188"/>
      <c r="N20" s="188"/>
      <c r="O20" s="188"/>
      <c r="P20" s="188"/>
      <c r="Q20" s="188"/>
      <c r="R20" s="188"/>
      <c r="S20" s="188"/>
      <c r="T20" s="188"/>
      <c r="U20" s="188"/>
      <c r="V20" s="188"/>
      <c r="W20" s="188"/>
      <c r="X20" s="188"/>
      <c r="Y20" s="188"/>
    </row>
    <row r="21" spans="1:25" ht="16">
      <c r="A21" s="188"/>
      <c r="B21" s="183">
        <v>13</v>
      </c>
      <c r="C21" s="186">
        <v>65</v>
      </c>
      <c r="D21" s="188"/>
      <c r="E21" s="188"/>
      <c r="F21" s="188"/>
      <c r="G21" s="188"/>
      <c r="H21" s="188"/>
      <c r="I21" s="188"/>
      <c r="J21" s="188"/>
      <c r="K21" s="188"/>
      <c r="L21" s="188"/>
      <c r="M21" s="188"/>
      <c r="N21" s="188"/>
      <c r="O21" s="188"/>
      <c r="P21" s="188"/>
      <c r="Q21" s="188"/>
      <c r="R21" s="188"/>
      <c r="S21" s="188"/>
      <c r="T21" s="188"/>
      <c r="U21" s="188"/>
      <c r="V21" s="188"/>
      <c r="W21" s="188"/>
      <c r="X21" s="188"/>
      <c r="Y21" s="188"/>
    </row>
    <row r="22" spans="1:25" ht="16">
      <c r="A22" s="188"/>
      <c r="B22" s="183">
        <v>14</v>
      </c>
      <c r="C22" s="186">
        <v>65</v>
      </c>
      <c r="D22" s="188"/>
      <c r="E22" s="188"/>
      <c r="F22" s="188"/>
      <c r="G22" s="188"/>
      <c r="H22" s="188"/>
      <c r="I22" s="188"/>
      <c r="J22" s="188"/>
      <c r="K22" s="188"/>
      <c r="L22" s="188"/>
      <c r="M22" s="188"/>
      <c r="N22" s="188"/>
      <c r="O22" s="188"/>
      <c r="P22" s="188"/>
      <c r="Q22" s="188"/>
      <c r="R22" s="188"/>
      <c r="S22" s="188"/>
      <c r="T22" s="188"/>
      <c r="U22" s="188"/>
      <c r="V22" s="188"/>
      <c r="W22" s="188"/>
      <c r="X22" s="188"/>
      <c r="Y22" s="188"/>
    </row>
    <row r="23" spans="1:25" ht="16">
      <c r="A23" s="188"/>
      <c r="B23" s="183">
        <v>15</v>
      </c>
      <c r="C23" s="186">
        <v>66</v>
      </c>
      <c r="D23" s="188"/>
      <c r="E23" s="188"/>
      <c r="F23" s="188"/>
      <c r="G23" s="188"/>
      <c r="H23" s="188"/>
      <c r="I23" s="188"/>
      <c r="J23" s="188"/>
      <c r="K23" s="188"/>
      <c r="L23" s="188"/>
      <c r="M23" s="188"/>
      <c r="N23" s="188"/>
      <c r="O23" s="188"/>
      <c r="P23" s="188"/>
      <c r="Q23" s="188"/>
      <c r="R23" s="188"/>
      <c r="S23" s="188"/>
      <c r="T23" s="188"/>
      <c r="U23" s="188"/>
      <c r="V23" s="188"/>
      <c r="W23" s="188"/>
      <c r="X23" s="188"/>
      <c r="Y23" s="188"/>
    </row>
    <row r="24" spans="1:25" ht="16">
      <c r="A24" s="188"/>
      <c r="B24" s="183">
        <v>16</v>
      </c>
      <c r="C24" s="186">
        <v>66</v>
      </c>
      <c r="D24" s="188"/>
      <c r="E24" s="188"/>
      <c r="F24" s="188"/>
      <c r="G24" s="188"/>
      <c r="H24" s="188"/>
      <c r="I24" s="188"/>
      <c r="J24" s="188"/>
      <c r="K24" s="188"/>
      <c r="L24" s="188"/>
      <c r="M24" s="188"/>
      <c r="N24" s="188"/>
      <c r="O24" s="188"/>
      <c r="P24" s="188"/>
      <c r="Q24" s="188"/>
      <c r="R24" s="188"/>
      <c r="S24" s="188"/>
      <c r="T24" s="188"/>
      <c r="U24" s="188"/>
      <c r="V24" s="188"/>
      <c r="W24" s="188"/>
      <c r="X24" s="188"/>
      <c r="Y24" s="188"/>
    </row>
    <row r="25" spans="1:25" ht="16">
      <c r="A25" s="188"/>
      <c r="B25" s="183">
        <v>17</v>
      </c>
      <c r="C25" s="186">
        <v>66</v>
      </c>
      <c r="D25" s="188"/>
      <c r="E25" s="188"/>
      <c r="F25" s="188"/>
      <c r="G25" s="188"/>
      <c r="H25" s="188"/>
      <c r="I25" s="188"/>
      <c r="J25" s="188"/>
      <c r="K25" s="188"/>
      <c r="L25" s="188"/>
      <c r="M25" s="188"/>
      <c r="N25" s="188"/>
      <c r="O25" s="188"/>
      <c r="P25" s="188"/>
      <c r="Q25" s="188"/>
      <c r="R25" s="188"/>
      <c r="S25" s="188"/>
      <c r="T25" s="188"/>
      <c r="U25" s="188"/>
      <c r="V25" s="188"/>
      <c r="W25" s="188"/>
      <c r="X25" s="188"/>
      <c r="Y25" s="188"/>
    </row>
    <row r="26" spans="1:25" ht="16">
      <c r="A26" s="188"/>
      <c r="B26" s="183">
        <v>18</v>
      </c>
      <c r="C26" s="186">
        <v>67</v>
      </c>
      <c r="D26" s="188"/>
      <c r="E26" s="188"/>
      <c r="F26" s="188"/>
      <c r="G26" s="188"/>
      <c r="H26" s="188"/>
      <c r="I26" s="188"/>
      <c r="J26" s="188"/>
      <c r="K26" s="188"/>
      <c r="L26" s="188"/>
      <c r="M26" s="188"/>
      <c r="N26" s="188"/>
      <c r="O26" s="188"/>
      <c r="P26" s="188"/>
      <c r="Q26" s="188"/>
      <c r="R26" s="188"/>
      <c r="S26" s="188"/>
      <c r="T26" s="188"/>
      <c r="U26" s="188"/>
      <c r="V26" s="188"/>
      <c r="W26" s="188"/>
      <c r="X26" s="188"/>
      <c r="Y26" s="188"/>
    </row>
    <row r="27" spans="1:25" ht="16">
      <c r="A27" s="188"/>
      <c r="B27" s="183">
        <v>19</v>
      </c>
      <c r="C27" s="186">
        <v>67</v>
      </c>
      <c r="D27" s="188"/>
      <c r="E27" s="188"/>
      <c r="F27" s="188"/>
      <c r="G27" s="188"/>
      <c r="H27" s="188"/>
      <c r="I27" s="188"/>
      <c r="J27" s="188"/>
      <c r="K27" s="188"/>
      <c r="L27" s="188"/>
      <c r="M27" s="188"/>
      <c r="N27" s="188"/>
      <c r="O27" s="188"/>
      <c r="P27" s="188"/>
      <c r="Q27" s="188"/>
      <c r="R27" s="188"/>
      <c r="S27" s="188"/>
      <c r="T27" s="188"/>
      <c r="U27" s="188"/>
      <c r="V27" s="188"/>
      <c r="W27" s="188"/>
      <c r="X27" s="188"/>
      <c r="Y27" s="188"/>
    </row>
    <row r="28" spans="1:25" ht="16">
      <c r="A28" s="188"/>
      <c r="B28" s="183">
        <v>20</v>
      </c>
      <c r="C28" s="186">
        <v>67</v>
      </c>
      <c r="D28" s="188"/>
      <c r="E28" s="188"/>
      <c r="F28" s="188"/>
      <c r="G28" s="188"/>
      <c r="H28" s="188"/>
      <c r="I28" s="188"/>
      <c r="J28" s="188"/>
      <c r="K28" s="188"/>
      <c r="L28" s="188"/>
      <c r="M28" s="188"/>
      <c r="N28" s="188"/>
      <c r="O28" s="188"/>
      <c r="P28" s="188"/>
      <c r="Q28" s="188"/>
      <c r="R28" s="188"/>
      <c r="S28" s="188"/>
      <c r="T28" s="188"/>
      <c r="U28" s="188"/>
      <c r="V28" s="188"/>
      <c r="W28" s="188"/>
      <c r="X28" s="188"/>
      <c r="Y28" s="188"/>
    </row>
    <row r="29" spans="1:25" ht="16">
      <c r="A29" s="188"/>
      <c r="B29" s="183">
        <v>21</v>
      </c>
      <c r="C29" s="186">
        <v>68</v>
      </c>
      <c r="D29" s="188"/>
      <c r="E29" s="188"/>
      <c r="F29" s="188"/>
      <c r="G29" s="188"/>
      <c r="H29" s="188"/>
      <c r="I29" s="188"/>
      <c r="J29" s="188"/>
      <c r="K29" s="188"/>
      <c r="L29" s="188"/>
      <c r="M29" s="188"/>
      <c r="N29" s="188"/>
      <c r="O29" s="188"/>
      <c r="P29" s="188"/>
      <c r="Q29" s="188"/>
      <c r="R29" s="188"/>
      <c r="S29" s="188"/>
      <c r="T29" s="188"/>
      <c r="U29" s="188"/>
      <c r="V29" s="188"/>
      <c r="W29" s="188"/>
      <c r="X29" s="188"/>
      <c r="Y29" s="188"/>
    </row>
    <row r="30" spans="1:25" ht="16">
      <c r="A30" s="188"/>
      <c r="B30" s="183">
        <v>22</v>
      </c>
      <c r="C30" s="186">
        <v>68</v>
      </c>
      <c r="D30" s="188"/>
      <c r="E30" s="188"/>
      <c r="F30" s="188"/>
      <c r="G30" s="188"/>
      <c r="H30" s="188"/>
      <c r="I30" s="188"/>
      <c r="J30" s="188"/>
      <c r="K30" s="188"/>
      <c r="L30" s="188"/>
      <c r="M30" s="188"/>
      <c r="N30" s="188"/>
      <c r="O30" s="188"/>
      <c r="P30" s="188"/>
      <c r="Q30" s="188"/>
      <c r="R30" s="188"/>
      <c r="S30" s="188"/>
      <c r="T30" s="188"/>
      <c r="U30" s="188"/>
      <c r="V30" s="188"/>
      <c r="W30" s="188"/>
      <c r="X30" s="188"/>
      <c r="Y30" s="188"/>
    </row>
    <row r="31" spans="1:25" ht="16">
      <c r="A31" s="188"/>
      <c r="B31" s="183">
        <v>23</v>
      </c>
      <c r="C31" s="186">
        <v>68</v>
      </c>
      <c r="D31" s="188"/>
      <c r="E31" s="188"/>
      <c r="F31" s="188"/>
      <c r="G31" s="188"/>
      <c r="H31" s="188"/>
      <c r="I31" s="188"/>
      <c r="J31" s="188"/>
      <c r="K31" s="188"/>
      <c r="L31" s="188"/>
      <c r="M31" s="188"/>
      <c r="N31" s="188"/>
      <c r="O31" s="188"/>
      <c r="P31" s="188"/>
      <c r="Q31" s="188"/>
      <c r="R31" s="188"/>
      <c r="S31" s="188"/>
      <c r="T31" s="188"/>
      <c r="U31" s="188"/>
      <c r="V31" s="188"/>
      <c r="W31" s="188"/>
      <c r="X31" s="188"/>
      <c r="Y31" s="188"/>
    </row>
    <row r="32" spans="1:25" ht="16">
      <c r="A32" s="188"/>
      <c r="B32" s="183">
        <v>24</v>
      </c>
      <c r="C32" s="186">
        <v>68</v>
      </c>
      <c r="D32" s="188"/>
      <c r="E32" s="188"/>
      <c r="F32" s="188"/>
      <c r="G32" s="188"/>
      <c r="H32" s="188"/>
      <c r="I32" s="188"/>
      <c r="J32" s="188"/>
      <c r="K32" s="188"/>
      <c r="L32" s="188"/>
      <c r="M32" s="188"/>
      <c r="N32" s="188"/>
      <c r="O32" s="188"/>
      <c r="P32" s="188"/>
      <c r="Q32" s="188"/>
      <c r="R32" s="188"/>
      <c r="S32" s="188"/>
      <c r="T32" s="188"/>
      <c r="U32" s="188"/>
      <c r="V32" s="188"/>
      <c r="W32" s="188"/>
      <c r="X32" s="188"/>
      <c r="Y32" s="188"/>
    </row>
    <row r="33" spans="1:25" ht="16">
      <c r="A33" s="188"/>
      <c r="B33" s="183">
        <v>25</v>
      </c>
      <c r="C33" s="186">
        <v>68</v>
      </c>
      <c r="D33" s="188"/>
      <c r="E33" s="188"/>
      <c r="F33" s="188"/>
      <c r="G33" s="188"/>
      <c r="H33" s="188"/>
      <c r="I33" s="188"/>
      <c r="J33" s="188"/>
      <c r="K33" s="188"/>
      <c r="L33" s="188"/>
      <c r="M33" s="188"/>
      <c r="N33" s="188"/>
      <c r="O33" s="188"/>
      <c r="P33" s="188"/>
      <c r="Q33" s="188"/>
      <c r="R33" s="188"/>
      <c r="S33" s="188"/>
      <c r="T33" s="188"/>
      <c r="U33" s="188"/>
      <c r="V33" s="188"/>
      <c r="W33" s="188"/>
      <c r="X33" s="188"/>
      <c r="Y33" s="188"/>
    </row>
    <row r="34" spans="1:25" ht="16">
      <c r="A34" s="188"/>
      <c r="B34" s="183">
        <v>26</v>
      </c>
      <c r="C34" s="186">
        <v>69</v>
      </c>
      <c r="D34" s="188"/>
      <c r="E34" s="188"/>
      <c r="F34" s="188"/>
      <c r="G34" s="188"/>
      <c r="H34" s="188"/>
      <c r="I34" s="188"/>
      <c r="J34" s="188"/>
      <c r="K34" s="188"/>
      <c r="L34" s="188"/>
      <c r="M34" s="188"/>
      <c r="N34" s="188"/>
      <c r="O34" s="188"/>
      <c r="P34" s="188"/>
      <c r="Q34" s="188"/>
      <c r="R34" s="188"/>
      <c r="S34" s="188"/>
      <c r="T34" s="188"/>
      <c r="U34" s="188"/>
      <c r="V34" s="188"/>
      <c r="W34" s="188"/>
      <c r="X34" s="188"/>
      <c r="Y34" s="188"/>
    </row>
    <row r="35" spans="1:25" ht="16">
      <c r="A35" s="188"/>
      <c r="B35" s="183">
        <v>27</v>
      </c>
      <c r="C35" s="186">
        <v>69</v>
      </c>
      <c r="D35" s="188"/>
      <c r="E35" s="188"/>
      <c r="F35" s="188"/>
      <c r="G35" s="188"/>
      <c r="H35" s="188"/>
      <c r="I35" s="188"/>
      <c r="J35" s="188"/>
      <c r="K35" s="188"/>
      <c r="L35" s="188"/>
      <c r="M35" s="188"/>
      <c r="N35" s="188"/>
      <c r="O35" s="188"/>
      <c r="P35" s="188"/>
      <c r="Q35" s="188"/>
      <c r="R35" s="188"/>
      <c r="S35" s="188"/>
      <c r="T35" s="188"/>
      <c r="U35" s="188"/>
      <c r="V35" s="188"/>
      <c r="W35" s="188"/>
      <c r="X35" s="188"/>
      <c r="Y35" s="188"/>
    </row>
    <row r="36" spans="1:25" ht="16">
      <c r="A36" s="188"/>
      <c r="B36" s="183">
        <v>28</v>
      </c>
      <c r="C36" s="186">
        <v>69</v>
      </c>
      <c r="D36" s="188"/>
      <c r="E36" s="188"/>
      <c r="F36" s="188"/>
      <c r="G36" s="188"/>
      <c r="H36" s="188"/>
      <c r="I36" s="188"/>
      <c r="J36" s="188"/>
      <c r="K36" s="188"/>
      <c r="L36" s="188"/>
      <c r="M36" s="188"/>
      <c r="N36" s="188"/>
      <c r="O36" s="188"/>
      <c r="P36" s="188"/>
      <c r="Q36" s="188"/>
      <c r="R36" s="188"/>
      <c r="S36" s="188"/>
      <c r="T36" s="188"/>
      <c r="U36" s="188"/>
      <c r="V36" s="188"/>
      <c r="W36" s="188"/>
      <c r="X36" s="188"/>
      <c r="Y36" s="188"/>
    </row>
    <row r="37" spans="1:25" ht="16">
      <c r="A37" s="188"/>
      <c r="B37" s="183">
        <v>29</v>
      </c>
      <c r="C37" s="186">
        <v>69</v>
      </c>
      <c r="D37" s="188"/>
      <c r="E37" s="188"/>
      <c r="F37" s="188"/>
      <c r="G37" s="188"/>
      <c r="H37" s="188"/>
      <c r="I37" s="188"/>
      <c r="J37" s="188"/>
      <c r="K37" s="188"/>
      <c r="L37" s="188"/>
      <c r="M37" s="188"/>
      <c r="N37" s="188"/>
      <c r="O37" s="188"/>
      <c r="P37" s="188"/>
      <c r="Q37" s="188"/>
      <c r="R37" s="188"/>
      <c r="S37" s="188"/>
      <c r="T37" s="188"/>
      <c r="U37" s="188"/>
      <c r="V37" s="188"/>
      <c r="W37" s="188"/>
      <c r="X37" s="188"/>
      <c r="Y37" s="188"/>
    </row>
    <row r="38" spans="1:25" ht="16">
      <c r="A38" s="188"/>
      <c r="B38" s="183">
        <v>30</v>
      </c>
      <c r="C38" s="186">
        <v>69</v>
      </c>
      <c r="D38" s="188"/>
      <c r="E38" s="188"/>
      <c r="F38" s="188"/>
      <c r="G38" s="188"/>
      <c r="H38" s="188"/>
      <c r="I38" s="188"/>
      <c r="J38" s="188"/>
      <c r="K38" s="188"/>
      <c r="L38" s="188"/>
      <c r="M38" s="188"/>
      <c r="N38" s="188"/>
      <c r="O38" s="188"/>
      <c r="P38" s="188"/>
      <c r="Q38" s="188"/>
      <c r="R38" s="188"/>
      <c r="S38" s="188"/>
      <c r="T38" s="188"/>
      <c r="U38" s="188"/>
      <c r="V38" s="188"/>
      <c r="W38" s="188"/>
      <c r="X38" s="188"/>
      <c r="Y38" s="188"/>
    </row>
    <row r="39" spans="1:25" ht="16">
      <c r="A39" s="188"/>
      <c r="B39" s="183">
        <v>31</v>
      </c>
      <c r="C39" s="186">
        <v>69</v>
      </c>
      <c r="D39" s="188"/>
      <c r="E39" s="188"/>
      <c r="F39" s="188"/>
      <c r="G39" s="188"/>
      <c r="H39" s="188"/>
      <c r="I39" s="188"/>
      <c r="J39" s="188"/>
      <c r="K39" s="188"/>
      <c r="L39" s="188"/>
      <c r="M39" s="188"/>
      <c r="N39" s="188"/>
      <c r="O39" s="188"/>
      <c r="P39" s="188"/>
      <c r="Q39" s="188"/>
      <c r="R39" s="188"/>
      <c r="S39" s="188"/>
      <c r="T39" s="188"/>
      <c r="U39" s="188"/>
      <c r="V39" s="188"/>
      <c r="W39" s="188"/>
      <c r="X39" s="188"/>
      <c r="Y39" s="188"/>
    </row>
    <row r="40" spans="1:25" ht="16">
      <c r="A40" s="188"/>
      <c r="B40" s="183">
        <v>32</v>
      </c>
      <c r="C40" s="186">
        <v>69</v>
      </c>
      <c r="D40" s="188"/>
      <c r="E40" s="188"/>
      <c r="F40" s="188"/>
      <c r="G40" s="188"/>
      <c r="H40" s="188"/>
      <c r="I40" s="188"/>
      <c r="J40" s="188"/>
      <c r="K40" s="188"/>
      <c r="L40" s="188"/>
      <c r="M40" s="188"/>
      <c r="N40" s="188"/>
      <c r="O40" s="188"/>
      <c r="P40" s="188"/>
      <c r="Q40" s="188"/>
      <c r="R40" s="188"/>
      <c r="S40" s="188"/>
      <c r="T40" s="188"/>
      <c r="U40" s="188"/>
      <c r="V40" s="188"/>
      <c r="W40" s="188"/>
      <c r="X40" s="188"/>
      <c r="Y40" s="188"/>
    </row>
    <row r="41" spans="1:25" ht="16">
      <c r="A41" s="188"/>
      <c r="B41" s="183">
        <v>33</v>
      </c>
      <c r="C41" s="186">
        <v>69</v>
      </c>
      <c r="D41" s="188"/>
      <c r="E41" s="188"/>
      <c r="F41" s="188"/>
      <c r="G41" s="188"/>
      <c r="H41" s="188"/>
      <c r="I41" s="188"/>
      <c r="J41" s="188"/>
      <c r="K41" s="188"/>
      <c r="L41" s="188"/>
      <c r="M41" s="188"/>
      <c r="N41" s="188"/>
      <c r="O41" s="188"/>
      <c r="P41" s="188"/>
      <c r="Q41" s="188"/>
      <c r="R41" s="188"/>
      <c r="S41" s="188"/>
      <c r="T41" s="188"/>
      <c r="U41" s="188"/>
      <c r="V41" s="188"/>
      <c r="W41" s="188"/>
      <c r="X41" s="188"/>
      <c r="Y41" s="188"/>
    </row>
    <row r="42" spans="1:25" ht="16">
      <c r="A42" s="188"/>
      <c r="B42" s="183">
        <v>34</v>
      </c>
      <c r="C42" s="186">
        <v>69</v>
      </c>
      <c r="D42" s="188"/>
      <c r="E42" s="188"/>
      <c r="F42" s="188"/>
      <c r="G42" s="188"/>
      <c r="H42" s="188"/>
      <c r="I42" s="188"/>
      <c r="J42" s="188"/>
      <c r="K42" s="188"/>
      <c r="L42" s="188"/>
      <c r="M42" s="188"/>
      <c r="N42" s="188"/>
      <c r="O42" s="188"/>
      <c r="P42" s="188"/>
      <c r="Q42" s="188"/>
      <c r="R42" s="188"/>
      <c r="S42" s="188"/>
      <c r="T42" s="188"/>
      <c r="U42" s="188"/>
      <c r="V42" s="188"/>
      <c r="W42" s="188"/>
      <c r="X42" s="188"/>
      <c r="Y42" s="188"/>
    </row>
    <row r="43" spans="1:25" ht="16">
      <c r="A43" s="188"/>
      <c r="B43" s="183">
        <v>35</v>
      </c>
      <c r="C43" s="186">
        <v>69</v>
      </c>
      <c r="D43" s="188"/>
      <c r="E43" s="188"/>
      <c r="F43" s="188"/>
      <c r="G43" s="188"/>
      <c r="H43" s="188"/>
      <c r="I43" s="188"/>
      <c r="J43" s="188"/>
      <c r="K43" s="188"/>
      <c r="L43" s="188"/>
      <c r="M43" s="188"/>
      <c r="N43" s="188"/>
      <c r="O43" s="188"/>
      <c r="P43" s="188"/>
      <c r="Q43" s="188"/>
      <c r="R43" s="188"/>
      <c r="S43" s="188"/>
      <c r="T43" s="188"/>
      <c r="U43" s="188"/>
      <c r="V43" s="188"/>
      <c r="W43" s="188"/>
      <c r="X43" s="188"/>
      <c r="Y43" s="188"/>
    </row>
    <row r="44" spans="1:25" ht="16">
      <c r="A44" s="188"/>
      <c r="B44" s="183">
        <v>36</v>
      </c>
      <c r="C44" s="186">
        <v>69</v>
      </c>
      <c r="D44" s="188"/>
      <c r="E44" s="188"/>
      <c r="F44" s="188"/>
      <c r="G44" s="188"/>
      <c r="H44" s="188"/>
      <c r="I44" s="188"/>
      <c r="J44" s="188"/>
      <c r="K44" s="188"/>
      <c r="L44" s="188"/>
      <c r="M44" s="188"/>
      <c r="N44" s="188"/>
      <c r="O44" s="188"/>
      <c r="P44" s="188"/>
      <c r="Q44" s="188"/>
      <c r="R44" s="188"/>
      <c r="S44" s="188"/>
      <c r="T44" s="188"/>
      <c r="U44" s="188"/>
      <c r="V44" s="188"/>
      <c r="W44" s="188"/>
      <c r="X44" s="188"/>
      <c r="Y44" s="188"/>
    </row>
    <row r="45" spans="1:25" ht="16">
      <c r="A45" s="188"/>
      <c r="B45" s="183">
        <v>37</v>
      </c>
      <c r="C45" s="186">
        <v>69</v>
      </c>
      <c r="D45" s="188"/>
      <c r="E45" s="188"/>
      <c r="F45" s="188"/>
      <c r="G45" s="188"/>
      <c r="H45" s="188"/>
      <c r="I45" s="188"/>
      <c r="J45" s="188"/>
      <c r="K45" s="188"/>
      <c r="L45" s="188"/>
      <c r="M45" s="188"/>
      <c r="N45" s="188"/>
      <c r="O45" s="188"/>
      <c r="P45" s="188"/>
      <c r="Q45" s="188"/>
      <c r="R45" s="188"/>
      <c r="S45" s="188"/>
      <c r="T45" s="188"/>
      <c r="U45" s="188"/>
      <c r="V45" s="188"/>
      <c r="W45" s="188"/>
      <c r="X45" s="188"/>
      <c r="Y45" s="188"/>
    </row>
    <row r="46" spans="1:25" ht="16">
      <c r="A46" s="188"/>
      <c r="B46" s="183">
        <v>38</v>
      </c>
      <c r="C46" s="186">
        <v>69</v>
      </c>
      <c r="D46" s="188"/>
      <c r="E46" s="188"/>
      <c r="F46" s="188"/>
      <c r="G46" s="188"/>
      <c r="H46" s="188"/>
      <c r="I46" s="188"/>
      <c r="J46" s="188"/>
      <c r="K46" s="188"/>
      <c r="L46" s="188"/>
      <c r="M46" s="188"/>
      <c r="N46" s="188"/>
      <c r="O46" s="188"/>
      <c r="P46" s="188"/>
      <c r="Q46" s="188"/>
      <c r="R46" s="188"/>
      <c r="S46" s="188"/>
      <c r="T46" s="188"/>
      <c r="U46" s="188"/>
      <c r="V46" s="188"/>
      <c r="W46" s="188"/>
      <c r="X46" s="188"/>
      <c r="Y46" s="188"/>
    </row>
    <row r="47" spans="1:25" ht="16">
      <c r="A47" s="188"/>
      <c r="B47" s="183">
        <v>39</v>
      </c>
      <c r="C47" s="186">
        <v>69</v>
      </c>
      <c r="D47" s="188"/>
      <c r="E47" s="188"/>
      <c r="F47" s="188"/>
      <c r="G47" s="188"/>
      <c r="H47" s="188"/>
      <c r="I47" s="188"/>
      <c r="J47" s="188"/>
      <c r="K47" s="188"/>
      <c r="L47" s="188"/>
      <c r="M47" s="188"/>
      <c r="N47" s="188"/>
      <c r="O47" s="188"/>
      <c r="P47" s="188"/>
      <c r="Q47" s="188"/>
      <c r="R47" s="188"/>
      <c r="S47" s="188"/>
      <c r="T47" s="188"/>
      <c r="U47" s="188"/>
      <c r="V47" s="188"/>
      <c r="W47" s="188"/>
      <c r="X47" s="188"/>
      <c r="Y47" s="188"/>
    </row>
    <row r="48" spans="1:25" ht="16">
      <c r="A48" s="188"/>
      <c r="B48" s="183">
        <v>40</v>
      </c>
      <c r="C48" s="186">
        <v>69</v>
      </c>
      <c r="D48" s="188"/>
      <c r="E48" s="188"/>
      <c r="F48" s="188"/>
      <c r="G48" s="188"/>
      <c r="H48" s="188"/>
      <c r="I48" s="188"/>
      <c r="J48" s="188"/>
      <c r="K48" s="188"/>
      <c r="L48" s="188"/>
      <c r="M48" s="188"/>
      <c r="N48" s="188"/>
      <c r="O48" s="188"/>
      <c r="P48" s="188"/>
      <c r="Q48" s="188"/>
      <c r="R48" s="188"/>
      <c r="S48" s="188"/>
      <c r="T48" s="188"/>
      <c r="U48" s="188"/>
      <c r="V48" s="188"/>
      <c r="W48" s="188"/>
      <c r="X48" s="188"/>
      <c r="Y48" s="188"/>
    </row>
    <row r="49" spans="1:25" ht="16">
      <c r="A49" s="188"/>
      <c r="B49" s="183">
        <v>41</v>
      </c>
      <c r="C49" s="186">
        <v>69</v>
      </c>
      <c r="D49" s="188"/>
      <c r="E49" s="188"/>
      <c r="F49" s="188"/>
      <c r="G49" s="188"/>
      <c r="H49" s="188"/>
      <c r="I49" s="188"/>
      <c r="J49" s="188"/>
      <c r="K49" s="188"/>
      <c r="L49" s="188"/>
      <c r="M49" s="188"/>
      <c r="N49" s="188"/>
      <c r="O49" s="188"/>
      <c r="P49" s="188"/>
      <c r="Q49" s="188"/>
      <c r="R49" s="188"/>
      <c r="S49" s="188"/>
      <c r="T49" s="188"/>
      <c r="U49" s="188"/>
      <c r="V49" s="188"/>
      <c r="W49" s="188"/>
      <c r="X49" s="188"/>
      <c r="Y49" s="188"/>
    </row>
    <row r="50" spans="1:25" ht="16">
      <c r="A50" s="188"/>
      <c r="B50" s="183">
        <v>42</v>
      </c>
      <c r="C50" s="186">
        <v>69</v>
      </c>
      <c r="D50" s="188"/>
      <c r="E50" s="188"/>
      <c r="F50" s="188"/>
      <c r="G50" s="188"/>
      <c r="H50" s="188"/>
      <c r="I50" s="188"/>
      <c r="J50" s="188"/>
      <c r="K50" s="188"/>
      <c r="L50" s="188"/>
      <c r="M50" s="188"/>
      <c r="N50" s="188"/>
      <c r="O50" s="188"/>
      <c r="P50" s="188"/>
      <c r="Q50" s="188"/>
      <c r="R50" s="188"/>
      <c r="S50" s="188"/>
      <c r="T50" s="188"/>
      <c r="U50" s="188"/>
      <c r="V50" s="188"/>
      <c r="W50" s="188"/>
      <c r="X50" s="188"/>
      <c r="Y50" s="188"/>
    </row>
    <row r="51" spans="1:25" ht="16">
      <c r="A51" s="188"/>
      <c r="B51" s="183">
        <v>43</v>
      </c>
      <c r="C51" s="186">
        <v>69</v>
      </c>
      <c r="D51" s="188"/>
      <c r="E51" s="188"/>
      <c r="F51" s="188"/>
      <c r="G51" s="188"/>
      <c r="H51" s="188"/>
      <c r="I51" s="188"/>
      <c r="J51" s="188"/>
      <c r="K51" s="188"/>
      <c r="L51" s="188"/>
      <c r="M51" s="188"/>
      <c r="N51" s="188"/>
      <c r="O51" s="188"/>
      <c r="P51" s="188"/>
      <c r="Q51" s="188"/>
      <c r="R51" s="188"/>
      <c r="S51" s="188"/>
      <c r="T51" s="188"/>
      <c r="U51" s="188"/>
      <c r="V51" s="188"/>
      <c r="W51" s="188"/>
      <c r="X51" s="188"/>
      <c r="Y51" s="188"/>
    </row>
    <row r="52" spans="1:25" ht="16">
      <c r="A52" s="188"/>
      <c r="B52" s="183">
        <v>44</v>
      </c>
      <c r="C52" s="186">
        <v>69</v>
      </c>
      <c r="D52" s="188"/>
      <c r="E52" s="188"/>
      <c r="F52" s="188"/>
      <c r="G52" s="188"/>
      <c r="H52" s="188"/>
      <c r="I52" s="188"/>
      <c r="J52" s="188"/>
      <c r="K52" s="188"/>
      <c r="L52" s="188"/>
      <c r="M52" s="188"/>
      <c r="N52" s="188"/>
      <c r="O52" s="188"/>
      <c r="P52" s="188"/>
      <c r="Q52" s="188"/>
      <c r="R52" s="188"/>
      <c r="S52" s="188"/>
      <c r="T52" s="188"/>
      <c r="U52" s="188"/>
      <c r="V52" s="188"/>
      <c r="W52" s="188"/>
      <c r="X52" s="188"/>
      <c r="Y52" s="188"/>
    </row>
    <row r="53" spans="1:25" ht="16">
      <c r="A53" s="188"/>
      <c r="B53" s="183">
        <v>45</v>
      </c>
      <c r="C53" s="186">
        <v>69</v>
      </c>
      <c r="D53" s="188"/>
      <c r="E53" s="188"/>
      <c r="F53" s="188"/>
      <c r="G53" s="188"/>
      <c r="H53" s="188"/>
      <c r="I53" s="188"/>
      <c r="J53" s="188"/>
      <c r="K53" s="188"/>
      <c r="L53" s="188"/>
      <c r="M53" s="188"/>
      <c r="N53" s="188"/>
      <c r="O53" s="188"/>
      <c r="P53" s="188"/>
      <c r="Q53" s="188"/>
      <c r="R53" s="188"/>
      <c r="S53" s="188"/>
      <c r="T53" s="188"/>
      <c r="U53" s="188"/>
      <c r="V53" s="188"/>
      <c r="W53" s="188"/>
      <c r="X53" s="188"/>
      <c r="Y53" s="188"/>
    </row>
    <row r="54" spans="1:25" ht="16">
      <c r="A54" s="188"/>
      <c r="B54" s="183">
        <v>46</v>
      </c>
      <c r="C54" s="186">
        <v>69</v>
      </c>
      <c r="D54" s="188"/>
      <c r="E54" s="188"/>
      <c r="F54" s="188"/>
      <c r="G54" s="188"/>
      <c r="H54" s="188"/>
      <c r="I54" s="188"/>
      <c r="J54" s="188"/>
      <c r="K54" s="188"/>
      <c r="L54" s="188"/>
      <c r="M54" s="188"/>
      <c r="N54" s="188"/>
      <c r="O54" s="188"/>
      <c r="P54" s="188"/>
      <c r="Q54" s="188"/>
      <c r="R54" s="188"/>
      <c r="S54" s="188"/>
      <c r="T54" s="188"/>
      <c r="U54" s="188"/>
      <c r="V54" s="188"/>
      <c r="W54" s="188"/>
      <c r="X54" s="188"/>
      <c r="Y54" s="188"/>
    </row>
    <row r="55" spans="1:25" ht="16">
      <c r="A55" s="188"/>
      <c r="B55" s="183">
        <v>47</v>
      </c>
      <c r="C55" s="186">
        <v>69</v>
      </c>
      <c r="D55" s="188"/>
      <c r="E55" s="188"/>
      <c r="F55" s="188"/>
      <c r="G55" s="188"/>
      <c r="H55" s="188"/>
      <c r="I55" s="188"/>
      <c r="J55" s="188"/>
      <c r="K55" s="188"/>
      <c r="L55" s="188"/>
      <c r="M55" s="188"/>
      <c r="N55" s="188"/>
      <c r="O55" s="188"/>
      <c r="P55" s="188"/>
      <c r="Q55" s="188"/>
      <c r="R55" s="188"/>
      <c r="S55" s="188"/>
      <c r="T55" s="188"/>
      <c r="U55" s="188"/>
      <c r="V55" s="188"/>
      <c r="W55" s="188"/>
      <c r="X55" s="188"/>
      <c r="Y55" s="188"/>
    </row>
    <row r="56" spans="1:25" ht="16">
      <c r="A56" s="188"/>
      <c r="B56" s="183">
        <v>48</v>
      </c>
      <c r="C56" s="186">
        <v>69</v>
      </c>
      <c r="D56" s="188"/>
      <c r="E56" s="188"/>
      <c r="F56" s="188"/>
      <c r="G56" s="188"/>
      <c r="H56" s="188"/>
      <c r="I56" s="188"/>
      <c r="J56" s="188"/>
      <c r="K56" s="188"/>
      <c r="L56" s="188"/>
      <c r="M56" s="188"/>
      <c r="N56" s="188"/>
      <c r="O56" s="188"/>
      <c r="P56" s="188"/>
      <c r="Q56" s="188"/>
      <c r="R56" s="188"/>
      <c r="S56" s="188"/>
      <c r="T56" s="188"/>
      <c r="U56" s="188"/>
      <c r="V56" s="188"/>
      <c r="W56" s="188"/>
      <c r="X56" s="188"/>
      <c r="Y56" s="188"/>
    </row>
    <row r="57" spans="1:25" ht="16">
      <c r="A57" s="188"/>
      <c r="B57" s="183">
        <v>49</v>
      </c>
      <c r="C57" s="186">
        <v>69</v>
      </c>
      <c r="D57" s="188"/>
      <c r="E57" s="188"/>
      <c r="F57" s="188"/>
      <c r="G57" s="188"/>
      <c r="H57" s="188"/>
      <c r="I57" s="188"/>
      <c r="J57" s="188"/>
      <c r="K57" s="188"/>
      <c r="L57" s="188"/>
      <c r="M57" s="188"/>
      <c r="N57" s="188"/>
      <c r="O57" s="188"/>
      <c r="P57" s="188"/>
      <c r="Q57" s="188"/>
      <c r="R57" s="188"/>
      <c r="S57" s="188"/>
      <c r="T57" s="188"/>
      <c r="U57" s="188"/>
      <c r="V57" s="188"/>
      <c r="W57" s="188"/>
      <c r="X57" s="188"/>
      <c r="Y57" s="188"/>
    </row>
    <row r="58" spans="1:25" ht="16">
      <c r="A58" s="188"/>
      <c r="B58" s="183">
        <v>50</v>
      </c>
      <c r="C58" s="186">
        <v>69</v>
      </c>
      <c r="D58" s="188"/>
      <c r="E58" s="188"/>
      <c r="F58" s="188"/>
      <c r="G58" s="188"/>
      <c r="H58" s="188"/>
      <c r="I58" s="188"/>
      <c r="J58" s="188"/>
      <c r="K58" s="188"/>
      <c r="L58" s="188"/>
      <c r="M58" s="188"/>
      <c r="N58" s="188"/>
      <c r="O58" s="188"/>
      <c r="P58" s="188"/>
      <c r="Q58" s="188"/>
      <c r="R58" s="188"/>
      <c r="S58" s="188"/>
      <c r="T58" s="188"/>
      <c r="U58" s="188"/>
      <c r="V58" s="188"/>
      <c r="W58" s="188"/>
      <c r="X58" s="188"/>
      <c r="Y58" s="188"/>
    </row>
    <row r="59" spans="1:25" ht="16">
      <c r="A59" s="188"/>
      <c r="B59" s="183">
        <v>51</v>
      </c>
      <c r="C59" s="186">
        <v>69</v>
      </c>
      <c r="D59" s="188"/>
      <c r="E59" s="188"/>
      <c r="F59" s="188"/>
      <c r="G59" s="188"/>
      <c r="H59" s="188"/>
      <c r="I59" s="188"/>
      <c r="J59" s="188"/>
      <c r="K59" s="188"/>
      <c r="L59" s="188"/>
      <c r="M59" s="188"/>
      <c r="N59" s="188"/>
      <c r="O59" s="188"/>
      <c r="P59" s="188"/>
      <c r="Q59" s="188"/>
      <c r="R59" s="188"/>
      <c r="S59" s="188"/>
      <c r="T59" s="188"/>
      <c r="U59" s="188"/>
      <c r="V59" s="188"/>
      <c r="W59" s="188"/>
      <c r="X59" s="188"/>
      <c r="Y59" s="188"/>
    </row>
    <row r="60" spans="1:25" ht="16">
      <c r="A60" s="188"/>
      <c r="B60" s="183">
        <v>52</v>
      </c>
      <c r="C60" s="186">
        <v>69</v>
      </c>
      <c r="D60" s="188"/>
      <c r="E60" s="188"/>
      <c r="F60" s="188"/>
      <c r="G60" s="188"/>
      <c r="H60" s="188"/>
      <c r="I60" s="188"/>
      <c r="J60" s="188"/>
      <c r="K60" s="188"/>
      <c r="L60" s="188"/>
      <c r="M60" s="188"/>
      <c r="N60" s="188"/>
      <c r="O60" s="188"/>
      <c r="P60" s="188"/>
      <c r="Q60" s="188"/>
      <c r="R60" s="188"/>
      <c r="S60" s="188"/>
      <c r="T60" s="188"/>
      <c r="U60" s="188"/>
      <c r="V60" s="188"/>
      <c r="W60" s="188"/>
      <c r="X60" s="188"/>
      <c r="Y60" s="188"/>
    </row>
    <row r="61" spans="1:25" ht="16">
      <c r="A61" s="188"/>
      <c r="B61" s="183">
        <v>53</v>
      </c>
      <c r="C61" s="186">
        <v>69</v>
      </c>
      <c r="D61" s="188"/>
      <c r="E61" s="188"/>
      <c r="F61" s="188"/>
      <c r="G61" s="188"/>
      <c r="H61" s="188"/>
      <c r="I61" s="188"/>
      <c r="J61" s="188"/>
      <c r="K61" s="188"/>
      <c r="L61" s="188"/>
      <c r="M61" s="188"/>
      <c r="N61" s="188"/>
      <c r="O61" s="188"/>
      <c r="P61" s="188"/>
      <c r="Q61" s="188"/>
      <c r="R61" s="188"/>
      <c r="S61" s="188"/>
      <c r="T61" s="188"/>
      <c r="U61" s="188"/>
      <c r="V61" s="188"/>
      <c r="W61" s="188"/>
      <c r="X61" s="188"/>
      <c r="Y61" s="188"/>
    </row>
    <row r="62" spans="1:25" ht="16">
      <c r="A62" s="188"/>
      <c r="B62" s="183">
        <v>54</v>
      </c>
      <c r="C62" s="186">
        <v>69</v>
      </c>
      <c r="D62" s="188"/>
      <c r="E62" s="188"/>
      <c r="F62" s="188"/>
      <c r="G62" s="188"/>
      <c r="H62" s="188"/>
      <c r="I62" s="188"/>
      <c r="J62" s="188"/>
      <c r="K62" s="188"/>
      <c r="L62" s="188"/>
      <c r="M62" s="188"/>
      <c r="N62" s="188"/>
      <c r="O62" s="188"/>
      <c r="P62" s="188"/>
      <c r="Q62" s="188"/>
      <c r="R62" s="188"/>
      <c r="S62" s="188"/>
      <c r="T62" s="188"/>
      <c r="U62" s="188"/>
      <c r="V62" s="188"/>
      <c r="W62" s="188"/>
      <c r="X62" s="188"/>
      <c r="Y62" s="188"/>
    </row>
    <row r="63" spans="1:25" ht="16">
      <c r="A63" s="188"/>
      <c r="B63" s="183">
        <v>55</v>
      </c>
      <c r="C63" s="186">
        <v>69</v>
      </c>
      <c r="D63" s="188"/>
      <c r="E63" s="188"/>
      <c r="F63" s="188"/>
      <c r="G63" s="188"/>
      <c r="H63" s="188"/>
      <c r="I63" s="188"/>
      <c r="J63" s="188"/>
      <c r="K63" s="188"/>
      <c r="L63" s="188"/>
      <c r="M63" s="188"/>
      <c r="N63" s="188"/>
      <c r="O63" s="188"/>
      <c r="P63" s="188"/>
      <c r="Q63" s="188"/>
      <c r="R63" s="188"/>
      <c r="S63" s="188"/>
      <c r="T63" s="188"/>
      <c r="U63" s="188"/>
      <c r="V63" s="188"/>
      <c r="W63" s="188"/>
      <c r="X63" s="188"/>
      <c r="Y63" s="188"/>
    </row>
    <row r="64" spans="1:25" ht="16">
      <c r="A64" s="188"/>
      <c r="B64" s="183">
        <v>56</v>
      </c>
      <c r="C64" s="186">
        <v>69</v>
      </c>
      <c r="D64" s="188"/>
      <c r="E64" s="188"/>
      <c r="F64" s="188"/>
      <c r="G64" s="188"/>
      <c r="H64" s="188"/>
      <c r="I64" s="188"/>
      <c r="J64" s="188"/>
      <c r="K64" s="188"/>
      <c r="L64" s="188"/>
      <c r="M64" s="188"/>
      <c r="N64" s="188"/>
      <c r="O64" s="188"/>
      <c r="P64" s="188"/>
      <c r="Q64" s="188"/>
      <c r="R64" s="188"/>
      <c r="S64" s="188"/>
      <c r="T64" s="188"/>
      <c r="U64" s="188"/>
      <c r="V64" s="188"/>
      <c r="W64" s="188"/>
      <c r="X64" s="188"/>
      <c r="Y64" s="188"/>
    </row>
    <row r="65" spans="1:25" ht="16">
      <c r="A65" s="188"/>
      <c r="B65" s="183">
        <v>57</v>
      </c>
      <c r="C65" s="186">
        <v>69</v>
      </c>
      <c r="D65" s="188"/>
      <c r="E65" s="188"/>
      <c r="F65" s="188"/>
      <c r="G65" s="188"/>
      <c r="H65" s="188"/>
      <c r="I65" s="188"/>
      <c r="J65" s="188"/>
      <c r="K65" s="188"/>
      <c r="L65" s="188"/>
      <c r="M65" s="188"/>
      <c r="N65" s="188"/>
      <c r="O65" s="188"/>
      <c r="P65" s="188"/>
      <c r="Q65" s="188"/>
      <c r="R65" s="188"/>
      <c r="S65" s="188"/>
      <c r="T65" s="188"/>
      <c r="U65" s="188"/>
      <c r="V65" s="188"/>
      <c r="W65" s="188"/>
      <c r="X65" s="188"/>
      <c r="Y65" s="188"/>
    </row>
    <row r="66" spans="1:25" ht="16">
      <c r="A66" s="188"/>
      <c r="B66" s="183">
        <v>58</v>
      </c>
      <c r="C66" s="186">
        <v>69</v>
      </c>
      <c r="D66" s="188"/>
      <c r="E66" s="188"/>
      <c r="F66" s="188"/>
      <c r="G66" s="188"/>
      <c r="H66" s="188"/>
      <c r="I66" s="188"/>
      <c r="J66" s="188"/>
      <c r="K66" s="188"/>
      <c r="L66" s="188"/>
      <c r="M66" s="188"/>
      <c r="N66" s="188"/>
      <c r="O66" s="188"/>
      <c r="P66" s="188"/>
      <c r="Q66" s="188"/>
      <c r="R66" s="188"/>
      <c r="S66" s="188"/>
      <c r="T66" s="188"/>
      <c r="U66" s="188"/>
      <c r="V66" s="188"/>
      <c r="W66" s="188"/>
      <c r="X66" s="188"/>
      <c r="Y66" s="188"/>
    </row>
    <row r="67" spans="1:25" ht="16">
      <c r="A67" s="188"/>
      <c r="B67" s="183">
        <v>59</v>
      </c>
      <c r="C67" s="186">
        <v>69</v>
      </c>
      <c r="D67" s="188"/>
      <c r="E67" s="188"/>
      <c r="F67" s="188"/>
      <c r="G67" s="188"/>
      <c r="H67" s="188"/>
      <c r="I67" s="188"/>
      <c r="J67" s="188"/>
      <c r="K67" s="188"/>
      <c r="L67" s="188"/>
      <c r="M67" s="188"/>
      <c r="N67" s="188"/>
      <c r="O67" s="188"/>
      <c r="P67" s="188"/>
      <c r="Q67" s="188"/>
      <c r="R67" s="188"/>
      <c r="S67" s="188"/>
      <c r="T67" s="188"/>
      <c r="U67" s="188"/>
      <c r="V67" s="188"/>
      <c r="W67" s="188"/>
      <c r="X67" s="188"/>
      <c r="Y67" s="188"/>
    </row>
    <row r="68" spans="1:25" ht="16">
      <c r="A68" s="188"/>
      <c r="B68" s="183">
        <v>60</v>
      </c>
      <c r="C68" s="186">
        <v>69</v>
      </c>
      <c r="D68" s="188"/>
      <c r="E68" s="188"/>
      <c r="F68" s="188"/>
      <c r="G68" s="188"/>
      <c r="H68" s="188"/>
      <c r="I68" s="188"/>
      <c r="J68" s="188"/>
      <c r="K68" s="188"/>
      <c r="L68" s="188"/>
      <c r="M68" s="188"/>
      <c r="N68" s="188"/>
      <c r="O68" s="188"/>
      <c r="P68" s="188"/>
      <c r="Q68" s="188"/>
      <c r="R68" s="188"/>
      <c r="S68" s="188"/>
      <c r="T68" s="188"/>
      <c r="U68" s="188"/>
      <c r="V68" s="188"/>
      <c r="W68" s="188"/>
      <c r="X68" s="188"/>
      <c r="Y68" s="188"/>
    </row>
    <row r="69" spans="1:25" ht="16">
      <c r="A69" s="188"/>
      <c r="B69" s="183">
        <v>61</v>
      </c>
      <c r="C69" s="186">
        <v>69</v>
      </c>
      <c r="D69" s="188"/>
      <c r="E69" s="188"/>
      <c r="F69" s="188"/>
      <c r="G69" s="188"/>
      <c r="H69" s="188"/>
      <c r="I69" s="188"/>
      <c r="J69" s="188"/>
      <c r="K69" s="188"/>
      <c r="L69" s="188"/>
      <c r="M69" s="188"/>
      <c r="N69" s="188"/>
      <c r="O69" s="188"/>
      <c r="P69" s="188"/>
      <c r="Q69" s="188"/>
      <c r="R69" s="188"/>
      <c r="S69" s="188"/>
      <c r="T69" s="188"/>
      <c r="U69" s="188"/>
      <c r="V69" s="188"/>
      <c r="W69" s="188"/>
      <c r="X69" s="188"/>
      <c r="Y69" s="188"/>
    </row>
    <row r="70" spans="1:25" ht="16">
      <c r="A70" s="188"/>
      <c r="B70" s="183">
        <v>62</v>
      </c>
      <c r="C70" s="186">
        <v>69</v>
      </c>
      <c r="D70" s="188"/>
      <c r="E70" s="188"/>
      <c r="F70" s="188"/>
      <c r="G70" s="188"/>
      <c r="H70" s="188"/>
      <c r="I70" s="188"/>
      <c r="J70" s="188"/>
      <c r="K70" s="188"/>
      <c r="L70" s="188"/>
      <c r="M70" s="188"/>
      <c r="N70" s="188"/>
      <c r="O70" s="188"/>
      <c r="P70" s="188"/>
      <c r="Q70" s="188"/>
      <c r="R70" s="188"/>
      <c r="S70" s="188"/>
      <c r="T70" s="188"/>
      <c r="U70" s="188"/>
      <c r="V70" s="188"/>
      <c r="W70" s="188"/>
      <c r="X70" s="188"/>
      <c r="Y70" s="188"/>
    </row>
    <row r="71" spans="1:25" ht="16">
      <c r="A71" s="188"/>
      <c r="B71" s="183">
        <v>63</v>
      </c>
      <c r="C71" s="186">
        <v>69</v>
      </c>
      <c r="D71" s="188"/>
      <c r="E71" s="188"/>
      <c r="F71" s="188"/>
      <c r="G71" s="188"/>
      <c r="H71" s="188"/>
      <c r="I71" s="188"/>
      <c r="J71" s="188"/>
      <c r="K71" s="188"/>
      <c r="L71" s="188"/>
      <c r="M71" s="188"/>
      <c r="N71" s="188"/>
      <c r="O71" s="188"/>
      <c r="P71" s="188"/>
      <c r="Q71" s="188"/>
      <c r="R71" s="188"/>
      <c r="S71" s="188"/>
      <c r="T71" s="188"/>
      <c r="U71" s="188"/>
      <c r="V71" s="188"/>
      <c r="W71" s="188"/>
      <c r="X71" s="188"/>
      <c r="Y71" s="188"/>
    </row>
    <row r="72" spans="1:25" ht="16">
      <c r="A72" s="188"/>
      <c r="B72" s="183">
        <v>64</v>
      </c>
      <c r="C72" s="186">
        <v>69</v>
      </c>
      <c r="D72" s="188"/>
      <c r="E72" s="188"/>
      <c r="F72" s="188"/>
      <c r="G72" s="188"/>
      <c r="H72" s="188"/>
      <c r="I72" s="188"/>
      <c r="J72" s="188"/>
      <c r="K72" s="188"/>
      <c r="L72" s="188"/>
      <c r="M72" s="188"/>
      <c r="N72" s="188"/>
      <c r="O72" s="188"/>
      <c r="P72" s="188"/>
      <c r="Q72" s="188"/>
      <c r="R72" s="188"/>
      <c r="S72" s="188"/>
      <c r="T72" s="188"/>
      <c r="U72" s="188"/>
      <c r="V72" s="188"/>
      <c r="W72" s="188"/>
      <c r="X72" s="188"/>
      <c r="Y72" s="188"/>
    </row>
    <row r="73" spans="1:25" ht="16">
      <c r="A73" s="188"/>
      <c r="B73" s="183">
        <v>65</v>
      </c>
      <c r="C73" s="186">
        <v>69</v>
      </c>
      <c r="D73" s="188"/>
      <c r="E73" s="188"/>
      <c r="F73" s="188"/>
      <c r="G73" s="188"/>
      <c r="H73" s="188"/>
      <c r="I73" s="188"/>
      <c r="J73" s="188"/>
      <c r="K73" s="188"/>
      <c r="L73" s="188"/>
      <c r="M73" s="188"/>
      <c r="N73" s="188"/>
      <c r="O73" s="188"/>
      <c r="P73" s="188"/>
      <c r="Q73" s="188"/>
      <c r="R73" s="188"/>
      <c r="S73" s="188"/>
      <c r="T73" s="188"/>
      <c r="U73" s="188"/>
      <c r="V73" s="188"/>
      <c r="W73" s="188"/>
      <c r="X73" s="188"/>
      <c r="Y73" s="188"/>
    </row>
    <row r="74" spans="1:25" ht="16">
      <c r="A74" s="188"/>
      <c r="B74" s="183">
        <v>66</v>
      </c>
      <c r="C74" s="186">
        <v>69</v>
      </c>
      <c r="D74" s="188"/>
      <c r="E74" s="188"/>
      <c r="F74" s="188"/>
      <c r="G74" s="188"/>
      <c r="H74" s="188"/>
      <c r="I74" s="188"/>
      <c r="J74" s="188"/>
      <c r="K74" s="188"/>
      <c r="L74" s="188"/>
      <c r="M74" s="188"/>
      <c r="N74" s="188"/>
      <c r="O74" s="188"/>
      <c r="P74" s="188"/>
      <c r="Q74" s="188"/>
      <c r="R74" s="188"/>
      <c r="S74" s="188"/>
      <c r="T74" s="188"/>
      <c r="U74" s="188"/>
      <c r="V74" s="188"/>
      <c r="W74" s="188"/>
      <c r="X74" s="188"/>
      <c r="Y74" s="188"/>
    </row>
    <row r="75" spans="1:25" ht="16">
      <c r="A75" s="188"/>
      <c r="B75" s="183">
        <v>67</v>
      </c>
      <c r="C75" s="186">
        <v>69</v>
      </c>
      <c r="D75" s="188"/>
      <c r="E75" s="188"/>
      <c r="F75" s="188"/>
      <c r="G75" s="188"/>
      <c r="H75" s="188"/>
      <c r="I75" s="188"/>
      <c r="J75" s="188"/>
      <c r="K75" s="188"/>
      <c r="L75" s="188"/>
      <c r="M75" s="188"/>
      <c r="N75" s="188"/>
      <c r="O75" s="188"/>
      <c r="P75" s="188"/>
      <c r="Q75" s="188"/>
      <c r="R75" s="188"/>
      <c r="S75" s="188"/>
      <c r="T75" s="188"/>
      <c r="U75" s="188"/>
      <c r="V75" s="188"/>
      <c r="W75" s="188"/>
      <c r="X75" s="188"/>
      <c r="Y75" s="188"/>
    </row>
    <row r="76" spans="1:25" ht="16">
      <c r="A76" s="188"/>
      <c r="B76" s="183">
        <v>68</v>
      </c>
      <c r="C76" s="186">
        <v>69</v>
      </c>
      <c r="D76" s="188"/>
      <c r="E76" s="188"/>
      <c r="F76" s="188"/>
      <c r="G76" s="188"/>
      <c r="H76" s="188"/>
      <c r="I76" s="188"/>
      <c r="J76" s="188"/>
      <c r="K76" s="188"/>
      <c r="L76" s="188"/>
      <c r="M76" s="188"/>
      <c r="N76" s="188"/>
      <c r="O76" s="188"/>
      <c r="P76" s="188"/>
      <c r="Q76" s="188"/>
      <c r="R76" s="188"/>
      <c r="S76" s="188"/>
      <c r="T76" s="188"/>
      <c r="U76" s="188"/>
      <c r="V76" s="188"/>
      <c r="W76" s="188"/>
      <c r="X76" s="188"/>
      <c r="Y76" s="188"/>
    </row>
    <row r="77" spans="1:25" ht="16">
      <c r="A77" s="188"/>
      <c r="B77" s="183">
        <v>69</v>
      </c>
      <c r="C77" s="186">
        <v>69</v>
      </c>
      <c r="D77" s="188"/>
      <c r="E77" s="188"/>
      <c r="F77" s="188"/>
      <c r="G77" s="188"/>
      <c r="H77" s="188"/>
      <c r="I77" s="188"/>
      <c r="J77" s="188"/>
      <c r="K77" s="188"/>
      <c r="L77" s="188"/>
      <c r="M77" s="188"/>
      <c r="N77" s="188"/>
      <c r="O77" s="188"/>
      <c r="P77" s="188"/>
      <c r="Q77" s="188"/>
      <c r="R77" s="188"/>
      <c r="S77" s="188"/>
      <c r="T77" s="188"/>
      <c r="U77" s="188"/>
      <c r="V77" s="188"/>
      <c r="W77" s="188"/>
      <c r="X77" s="188"/>
      <c r="Y77" s="188"/>
    </row>
    <row r="78" spans="1:25" ht="16">
      <c r="A78" s="188"/>
      <c r="B78" s="183">
        <v>70</v>
      </c>
      <c r="C78" s="186">
        <v>69</v>
      </c>
      <c r="D78" s="188"/>
      <c r="E78" s="188"/>
      <c r="F78" s="188"/>
      <c r="G78" s="188"/>
      <c r="H78" s="188"/>
      <c r="I78" s="188"/>
      <c r="J78" s="188"/>
      <c r="K78" s="188"/>
      <c r="L78" s="188"/>
      <c r="M78" s="188"/>
      <c r="N78" s="188"/>
      <c r="O78" s="188"/>
      <c r="P78" s="188"/>
      <c r="Q78" s="188"/>
      <c r="R78" s="188"/>
      <c r="S78" s="188"/>
      <c r="T78" s="188"/>
      <c r="U78" s="188"/>
      <c r="V78" s="188"/>
      <c r="W78" s="188"/>
      <c r="X78" s="188"/>
      <c r="Y78" s="188"/>
    </row>
    <row r="79" spans="1:25" ht="16">
      <c r="A79" s="188"/>
      <c r="B79" s="183">
        <v>71</v>
      </c>
      <c r="C79" s="186">
        <v>69</v>
      </c>
      <c r="D79" s="188"/>
      <c r="E79" s="188"/>
      <c r="F79" s="188"/>
      <c r="G79" s="188"/>
      <c r="H79" s="188"/>
      <c r="I79" s="188"/>
      <c r="J79" s="188"/>
      <c r="K79" s="188"/>
      <c r="L79" s="188"/>
      <c r="M79" s="188"/>
      <c r="N79" s="188"/>
      <c r="O79" s="188"/>
      <c r="P79" s="188"/>
      <c r="Q79" s="188"/>
      <c r="R79" s="188"/>
      <c r="S79" s="188"/>
      <c r="T79" s="188"/>
      <c r="U79" s="188"/>
      <c r="V79" s="188"/>
      <c r="W79" s="188"/>
      <c r="X79" s="188"/>
      <c r="Y79" s="188"/>
    </row>
    <row r="80" spans="1:25" ht="16">
      <c r="A80" s="188"/>
      <c r="B80" s="183">
        <v>72</v>
      </c>
      <c r="C80" s="186">
        <v>69</v>
      </c>
      <c r="D80" s="188"/>
      <c r="E80" s="188"/>
      <c r="F80" s="188"/>
      <c r="G80" s="188"/>
      <c r="H80" s="188"/>
      <c r="I80" s="188"/>
      <c r="J80" s="188"/>
      <c r="K80" s="188"/>
      <c r="L80" s="188"/>
      <c r="M80" s="188"/>
      <c r="N80" s="188"/>
      <c r="O80" s="188"/>
      <c r="P80" s="188"/>
      <c r="Q80" s="188"/>
      <c r="R80" s="188"/>
      <c r="S80" s="188"/>
      <c r="T80" s="188"/>
      <c r="U80" s="188"/>
      <c r="V80" s="188"/>
      <c r="W80" s="188"/>
      <c r="X80" s="188"/>
      <c r="Y80" s="188"/>
    </row>
    <row r="81" spans="1:25" ht="16">
      <c r="A81" s="188"/>
      <c r="B81" s="183">
        <v>73</v>
      </c>
      <c r="C81" s="186">
        <v>69</v>
      </c>
      <c r="D81" s="188"/>
      <c r="E81" s="188"/>
      <c r="F81" s="188"/>
      <c r="G81" s="188"/>
      <c r="H81" s="188"/>
      <c r="I81" s="188"/>
      <c r="J81" s="188"/>
      <c r="K81" s="188"/>
      <c r="L81" s="188"/>
      <c r="M81" s="188"/>
      <c r="N81" s="188"/>
      <c r="O81" s="188"/>
      <c r="P81" s="188"/>
      <c r="Q81" s="188"/>
      <c r="R81" s="188"/>
      <c r="S81" s="188"/>
      <c r="T81" s="188"/>
      <c r="U81" s="188"/>
      <c r="V81" s="188"/>
      <c r="W81" s="188"/>
      <c r="X81" s="188"/>
      <c r="Y81" s="188"/>
    </row>
    <row r="82" spans="1:25" ht="16">
      <c r="A82" s="188"/>
      <c r="B82" s="183">
        <v>74</v>
      </c>
      <c r="C82" s="186">
        <v>69</v>
      </c>
      <c r="D82" s="188"/>
      <c r="E82" s="188"/>
      <c r="F82" s="188"/>
      <c r="G82" s="188"/>
      <c r="H82" s="188"/>
      <c r="I82" s="188"/>
      <c r="J82" s="188"/>
      <c r="K82" s="188"/>
      <c r="L82" s="188"/>
      <c r="M82" s="188"/>
      <c r="N82" s="188"/>
      <c r="O82" s="188"/>
      <c r="P82" s="188"/>
      <c r="Q82" s="188"/>
      <c r="R82" s="188"/>
      <c r="S82" s="188"/>
      <c r="T82" s="188"/>
      <c r="U82" s="188"/>
      <c r="V82" s="188"/>
      <c r="W82" s="188"/>
      <c r="X82" s="188"/>
      <c r="Y82" s="188"/>
    </row>
    <row r="83" spans="1:25" ht="16">
      <c r="A83" s="188"/>
      <c r="B83" s="183">
        <v>75</v>
      </c>
      <c r="C83" s="186">
        <v>69</v>
      </c>
      <c r="D83" s="188"/>
      <c r="E83" s="188"/>
      <c r="F83" s="188"/>
      <c r="G83" s="188"/>
      <c r="H83" s="188"/>
      <c r="I83" s="188"/>
      <c r="J83" s="188"/>
      <c r="K83" s="188"/>
      <c r="L83" s="188"/>
      <c r="M83" s="188"/>
      <c r="N83" s="188"/>
      <c r="O83" s="188"/>
      <c r="P83" s="188"/>
      <c r="Q83" s="188"/>
      <c r="R83" s="188"/>
      <c r="S83" s="188"/>
      <c r="T83" s="188"/>
      <c r="U83" s="188"/>
      <c r="V83" s="188"/>
      <c r="W83" s="188"/>
      <c r="X83" s="188"/>
      <c r="Y83" s="188"/>
    </row>
    <row r="84" spans="1:25" ht="16">
      <c r="A84" s="188"/>
      <c r="B84" s="183">
        <v>76</v>
      </c>
      <c r="C84" s="186">
        <v>69</v>
      </c>
      <c r="D84" s="188"/>
      <c r="E84" s="188"/>
      <c r="F84" s="188"/>
      <c r="G84" s="188"/>
      <c r="H84" s="188"/>
      <c r="I84" s="188"/>
      <c r="J84" s="188"/>
      <c r="K84" s="188"/>
      <c r="L84" s="188"/>
      <c r="M84" s="188"/>
      <c r="N84" s="188"/>
      <c r="O84" s="188"/>
      <c r="P84" s="188"/>
      <c r="Q84" s="188"/>
      <c r="R84" s="188"/>
      <c r="S84" s="188"/>
      <c r="T84" s="188"/>
      <c r="U84" s="188"/>
      <c r="V84" s="188"/>
      <c r="W84" s="188"/>
      <c r="X84" s="188"/>
      <c r="Y84" s="188"/>
    </row>
    <row r="85" spans="1:25" ht="16">
      <c r="A85" s="188"/>
      <c r="B85" s="183">
        <v>77</v>
      </c>
      <c r="C85" s="186">
        <v>69</v>
      </c>
      <c r="D85" s="188"/>
      <c r="E85" s="188"/>
      <c r="F85" s="188"/>
      <c r="G85" s="188"/>
      <c r="H85" s="188"/>
      <c r="I85" s="188"/>
      <c r="J85" s="188"/>
      <c r="K85" s="188"/>
      <c r="L85" s="188"/>
      <c r="M85" s="188"/>
      <c r="N85" s="188"/>
      <c r="O85" s="188"/>
      <c r="P85" s="188"/>
      <c r="Q85" s="188"/>
      <c r="R85" s="188"/>
      <c r="S85" s="188"/>
      <c r="T85" s="188"/>
      <c r="U85" s="188"/>
      <c r="V85" s="188"/>
      <c r="W85" s="188"/>
      <c r="X85" s="188"/>
      <c r="Y85" s="188"/>
    </row>
    <row r="86" spans="1:25" ht="16">
      <c r="A86" s="188"/>
      <c r="B86" s="183">
        <v>78</v>
      </c>
      <c r="C86" s="186">
        <v>69</v>
      </c>
      <c r="D86" s="188"/>
      <c r="E86" s="188"/>
      <c r="F86" s="188"/>
      <c r="G86" s="188"/>
      <c r="H86" s="188"/>
      <c r="I86" s="188"/>
      <c r="J86" s="188"/>
      <c r="K86" s="188"/>
      <c r="L86" s="188"/>
      <c r="M86" s="188"/>
      <c r="N86" s="188"/>
      <c r="O86" s="188"/>
      <c r="P86" s="188"/>
      <c r="Q86" s="188"/>
      <c r="R86" s="188"/>
      <c r="S86" s="188"/>
      <c r="T86" s="188"/>
      <c r="U86" s="188"/>
      <c r="V86" s="188"/>
      <c r="W86" s="188"/>
      <c r="X86" s="188"/>
      <c r="Y86" s="188"/>
    </row>
    <row r="87" spans="1:25" ht="16">
      <c r="A87" s="188"/>
      <c r="B87" s="183">
        <v>79</v>
      </c>
      <c r="C87" s="186">
        <v>69</v>
      </c>
      <c r="D87" s="188"/>
      <c r="E87" s="188"/>
      <c r="F87" s="188"/>
      <c r="G87" s="188"/>
      <c r="H87" s="188"/>
      <c r="I87" s="188"/>
      <c r="J87" s="188"/>
      <c r="K87" s="188"/>
      <c r="L87" s="188"/>
      <c r="M87" s="188"/>
      <c r="N87" s="188"/>
      <c r="O87" s="188"/>
      <c r="P87" s="188"/>
      <c r="Q87" s="188"/>
      <c r="R87" s="188"/>
      <c r="S87" s="188"/>
      <c r="T87" s="188"/>
      <c r="U87" s="188"/>
      <c r="V87" s="188"/>
      <c r="W87" s="188"/>
      <c r="X87" s="188"/>
      <c r="Y87" s="188"/>
    </row>
    <row r="88" spans="1:25" ht="16">
      <c r="A88" s="188"/>
      <c r="B88" s="183">
        <v>80</v>
      </c>
      <c r="C88" s="186">
        <v>69</v>
      </c>
      <c r="D88" s="188"/>
      <c r="E88" s="188"/>
      <c r="F88" s="188"/>
      <c r="G88" s="188"/>
      <c r="H88" s="188"/>
      <c r="I88" s="188"/>
      <c r="J88" s="188"/>
      <c r="K88" s="188"/>
      <c r="L88" s="188"/>
      <c r="M88" s="188"/>
      <c r="N88" s="188"/>
      <c r="O88" s="188"/>
      <c r="P88" s="188"/>
      <c r="Q88" s="188"/>
      <c r="R88" s="188"/>
      <c r="S88" s="188"/>
      <c r="T88" s="188"/>
      <c r="U88" s="188"/>
      <c r="V88" s="188"/>
      <c r="W88" s="188"/>
      <c r="X88" s="188"/>
      <c r="Y88" s="188"/>
    </row>
    <row r="89" spans="1:25" ht="16">
      <c r="A89" s="188"/>
      <c r="B89" s="183">
        <v>81</v>
      </c>
      <c r="C89" s="186">
        <v>69</v>
      </c>
      <c r="D89" s="188"/>
      <c r="E89" s="188"/>
      <c r="F89" s="188"/>
      <c r="G89" s="188"/>
      <c r="H89" s="188"/>
      <c r="I89" s="188"/>
      <c r="J89" s="188"/>
      <c r="K89" s="188"/>
      <c r="L89" s="188"/>
      <c r="M89" s="188"/>
      <c r="N89" s="188"/>
      <c r="O89" s="188"/>
      <c r="P89" s="188"/>
      <c r="Q89" s="188"/>
      <c r="R89" s="188"/>
      <c r="S89" s="188"/>
      <c r="T89" s="188"/>
      <c r="U89" s="188"/>
      <c r="V89" s="188"/>
      <c r="W89" s="188"/>
      <c r="X89" s="188"/>
      <c r="Y89" s="188"/>
    </row>
    <row r="90" spans="1:25" ht="16">
      <c r="A90" s="188"/>
      <c r="B90" s="183">
        <v>82</v>
      </c>
      <c r="C90" s="186">
        <v>69</v>
      </c>
      <c r="D90" s="188"/>
      <c r="E90" s="188"/>
      <c r="F90" s="188"/>
      <c r="G90" s="188"/>
      <c r="H90" s="188"/>
      <c r="I90" s="188"/>
      <c r="J90" s="188"/>
      <c r="K90" s="188"/>
      <c r="L90" s="188"/>
      <c r="M90" s="188"/>
      <c r="N90" s="188"/>
      <c r="O90" s="188"/>
      <c r="P90" s="188"/>
      <c r="Q90" s="188"/>
      <c r="R90" s="188"/>
      <c r="S90" s="188"/>
      <c r="T90" s="188"/>
      <c r="U90" s="188"/>
      <c r="V90" s="188"/>
      <c r="W90" s="188"/>
      <c r="X90" s="188"/>
      <c r="Y90" s="188"/>
    </row>
    <row r="91" spans="1:25" ht="16">
      <c r="A91" s="188"/>
      <c r="B91" s="183">
        <v>83</v>
      </c>
      <c r="C91" s="186">
        <v>69</v>
      </c>
      <c r="D91" s="188"/>
      <c r="E91" s="188"/>
      <c r="F91" s="188"/>
      <c r="G91" s="188"/>
      <c r="H91" s="188"/>
      <c r="I91" s="188"/>
      <c r="J91" s="188"/>
      <c r="K91" s="188"/>
      <c r="L91" s="188"/>
      <c r="M91" s="188"/>
      <c r="N91" s="188"/>
      <c r="O91" s="188"/>
      <c r="P91" s="188"/>
      <c r="Q91" s="188"/>
      <c r="R91" s="188"/>
      <c r="S91" s="188"/>
      <c r="T91" s="188"/>
      <c r="U91" s="188"/>
      <c r="V91" s="188"/>
      <c r="W91" s="188"/>
      <c r="X91" s="188"/>
      <c r="Y91" s="188"/>
    </row>
    <row r="92" spans="1:25" ht="16">
      <c r="A92" s="188"/>
      <c r="B92" s="183">
        <v>84</v>
      </c>
      <c r="C92" s="186">
        <v>69</v>
      </c>
      <c r="D92" s="188"/>
      <c r="E92" s="188"/>
      <c r="F92" s="188"/>
      <c r="G92" s="188"/>
      <c r="H92" s="188"/>
      <c r="I92" s="188"/>
      <c r="J92" s="188"/>
      <c r="K92" s="188"/>
      <c r="L92" s="188"/>
      <c r="M92" s="188"/>
      <c r="N92" s="188"/>
      <c r="O92" s="188"/>
      <c r="P92" s="188"/>
      <c r="Q92" s="188"/>
      <c r="R92" s="188"/>
      <c r="S92" s="188"/>
      <c r="T92" s="188"/>
      <c r="U92" s="188"/>
      <c r="V92" s="188"/>
      <c r="W92" s="188"/>
      <c r="X92" s="188"/>
      <c r="Y92" s="188"/>
    </row>
    <row r="93" spans="1:25" ht="16">
      <c r="A93" s="188"/>
      <c r="B93" s="183">
        <v>85</v>
      </c>
      <c r="C93" s="186">
        <v>69</v>
      </c>
      <c r="D93" s="188"/>
      <c r="E93" s="188"/>
      <c r="F93" s="188"/>
      <c r="G93" s="188"/>
      <c r="H93" s="188"/>
      <c r="I93" s="188"/>
      <c r="J93" s="188"/>
      <c r="K93" s="188"/>
      <c r="L93" s="188"/>
      <c r="M93" s="188"/>
      <c r="N93" s="188"/>
      <c r="O93" s="188"/>
      <c r="P93" s="188"/>
      <c r="Q93" s="188"/>
      <c r="R93" s="188"/>
      <c r="S93" s="188"/>
      <c r="T93" s="188"/>
      <c r="U93" s="188"/>
      <c r="V93" s="188"/>
      <c r="W93" s="188"/>
      <c r="X93" s="188"/>
      <c r="Y93" s="188"/>
    </row>
    <row r="94" spans="1:25" ht="16">
      <c r="A94" s="188"/>
      <c r="B94" s="183">
        <v>86</v>
      </c>
      <c r="C94" s="186">
        <v>69</v>
      </c>
      <c r="D94" s="188"/>
      <c r="E94" s="188"/>
      <c r="F94" s="188"/>
      <c r="G94" s="188"/>
      <c r="H94" s="188"/>
      <c r="I94" s="188"/>
      <c r="J94" s="188"/>
      <c r="K94" s="188"/>
      <c r="L94" s="188"/>
      <c r="M94" s="188"/>
      <c r="N94" s="188"/>
      <c r="O94" s="188"/>
      <c r="P94" s="188"/>
      <c r="Q94" s="188"/>
      <c r="R94" s="188"/>
      <c r="S94" s="188"/>
      <c r="T94" s="188"/>
      <c r="U94" s="188"/>
      <c r="V94" s="188"/>
      <c r="W94" s="188"/>
      <c r="X94" s="188"/>
      <c r="Y94" s="188"/>
    </row>
    <row r="95" spans="1:25" ht="16">
      <c r="A95" s="188"/>
      <c r="B95" s="183">
        <v>87</v>
      </c>
      <c r="C95" s="186">
        <v>69</v>
      </c>
      <c r="D95" s="188"/>
      <c r="E95" s="188"/>
      <c r="F95" s="188"/>
      <c r="G95" s="188"/>
      <c r="H95" s="188"/>
      <c r="I95" s="188"/>
      <c r="J95" s="188"/>
      <c r="K95" s="188"/>
      <c r="L95" s="188"/>
      <c r="M95" s="188"/>
      <c r="N95" s="188"/>
      <c r="O95" s="188"/>
      <c r="P95" s="188"/>
      <c r="Q95" s="188"/>
      <c r="R95" s="188"/>
      <c r="S95" s="188"/>
      <c r="T95" s="188"/>
      <c r="U95" s="188"/>
      <c r="V95" s="188"/>
      <c r="W95" s="188"/>
      <c r="X95" s="188"/>
      <c r="Y95" s="188"/>
    </row>
    <row r="96" spans="1:25" ht="16">
      <c r="A96" s="188"/>
      <c r="B96" s="183">
        <v>88</v>
      </c>
      <c r="C96" s="186">
        <v>69</v>
      </c>
      <c r="D96" s="188"/>
      <c r="E96" s="188"/>
      <c r="F96" s="188"/>
      <c r="G96" s="188"/>
      <c r="H96" s="188"/>
      <c r="I96" s="188"/>
      <c r="J96" s="188"/>
      <c r="K96" s="188"/>
      <c r="L96" s="188"/>
      <c r="M96" s="188"/>
      <c r="N96" s="188"/>
      <c r="O96" s="188"/>
      <c r="P96" s="188"/>
      <c r="Q96" s="188"/>
      <c r="R96" s="188"/>
      <c r="S96" s="188"/>
      <c r="T96" s="188"/>
      <c r="U96" s="188"/>
      <c r="V96" s="188"/>
      <c r="W96" s="188"/>
      <c r="X96" s="188"/>
      <c r="Y96" s="188"/>
    </row>
    <row r="97" spans="1:25" ht="16">
      <c r="A97" s="188"/>
      <c r="B97" s="183">
        <v>89</v>
      </c>
      <c r="C97" s="186">
        <v>69</v>
      </c>
      <c r="D97" s="188"/>
      <c r="E97" s="188"/>
      <c r="F97" s="188"/>
      <c r="G97" s="188"/>
      <c r="H97" s="188"/>
      <c r="I97" s="188"/>
      <c r="J97" s="188"/>
      <c r="K97" s="188"/>
      <c r="L97" s="188"/>
      <c r="M97" s="188"/>
      <c r="N97" s="188"/>
      <c r="O97" s="188"/>
      <c r="P97" s="188"/>
      <c r="Q97" s="188"/>
      <c r="R97" s="188"/>
      <c r="S97" s="188"/>
      <c r="T97" s="188"/>
      <c r="U97" s="188"/>
      <c r="V97" s="188"/>
      <c r="W97" s="188"/>
      <c r="X97" s="188"/>
      <c r="Y97" s="188"/>
    </row>
    <row r="98" spans="1:25" ht="16">
      <c r="A98" s="188"/>
      <c r="B98" s="183">
        <v>90</v>
      </c>
      <c r="C98" s="186">
        <v>69</v>
      </c>
      <c r="D98" s="188"/>
      <c r="E98" s="188"/>
      <c r="F98" s="188"/>
      <c r="G98" s="188"/>
      <c r="H98" s="188"/>
      <c r="I98" s="188"/>
      <c r="J98" s="188"/>
      <c r="K98" s="188"/>
      <c r="L98" s="188"/>
      <c r="M98" s="188"/>
      <c r="N98" s="188"/>
      <c r="O98" s="188"/>
      <c r="P98" s="188"/>
      <c r="Q98" s="188"/>
      <c r="R98" s="188"/>
      <c r="S98" s="188"/>
      <c r="T98" s="188"/>
      <c r="U98" s="188"/>
      <c r="V98" s="188"/>
      <c r="W98" s="188"/>
      <c r="X98" s="188"/>
      <c r="Y98" s="188"/>
    </row>
    <row r="99" spans="1:25" ht="16">
      <c r="A99" s="188"/>
      <c r="B99" s="183">
        <v>91</v>
      </c>
      <c r="C99" s="186">
        <v>69</v>
      </c>
      <c r="D99" s="188"/>
      <c r="E99" s="188"/>
      <c r="F99" s="188"/>
      <c r="G99" s="188"/>
      <c r="H99" s="188"/>
      <c r="I99" s="188"/>
      <c r="J99" s="188"/>
      <c r="K99" s="188"/>
      <c r="L99" s="188"/>
      <c r="M99" s="188"/>
      <c r="N99" s="188"/>
      <c r="O99" s="188"/>
      <c r="P99" s="188"/>
      <c r="Q99" s="188"/>
      <c r="R99" s="188"/>
      <c r="S99" s="188"/>
      <c r="T99" s="188"/>
      <c r="U99" s="188"/>
      <c r="V99" s="188"/>
      <c r="W99" s="188"/>
      <c r="X99" s="188"/>
      <c r="Y99" s="188"/>
    </row>
    <row r="100" spans="1:25" ht="16">
      <c r="A100" s="188"/>
      <c r="B100" s="183">
        <v>92</v>
      </c>
      <c r="C100" s="186">
        <v>69</v>
      </c>
      <c r="D100" s="188"/>
      <c r="E100" s="188"/>
      <c r="F100" s="188"/>
      <c r="G100" s="188"/>
      <c r="H100" s="188"/>
      <c r="I100" s="188"/>
      <c r="J100" s="188"/>
      <c r="K100" s="188"/>
      <c r="L100" s="188"/>
      <c r="M100" s="188"/>
      <c r="N100" s="188"/>
      <c r="O100" s="188"/>
      <c r="P100" s="188"/>
      <c r="Q100" s="188"/>
      <c r="R100" s="188"/>
      <c r="S100" s="188"/>
      <c r="T100" s="188"/>
      <c r="U100" s="188"/>
      <c r="V100" s="188"/>
      <c r="W100" s="188"/>
      <c r="X100" s="188"/>
      <c r="Y100" s="188"/>
    </row>
    <row r="101" spans="1:25" ht="16">
      <c r="A101" s="188"/>
      <c r="B101" s="183">
        <v>93</v>
      </c>
      <c r="C101" s="186">
        <v>69</v>
      </c>
      <c r="D101" s="188"/>
      <c r="E101" s="188"/>
      <c r="F101" s="188"/>
      <c r="G101" s="188"/>
      <c r="H101" s="188"/>
      <c r="I101" s="188"/>
      <c r="J101" s="188"/>
      <c r="K101" s="188"/>
      <c r="L101" s="188"/>
      <c r="M101" s="188"/>
      <c r="N101" s="188"/>
      <c r="O101" s="188"/>
      <c r="P101" s="188"/>
      <c r="Q101" s="188"/>
      <c r="R101" s="188"/>
      <c r="S101" s="188"/>
      <c r="T101" s="188"/>
      <c r="U101" s="188"/>
      <c r="V101" s="188"/>
      <c r="W101" s="188"/>
      <c r="X101" s="188"/>
      <c r="Y101" s="188"/>
    </row>
    <row r="102" spans="1:25" ht="16">
      <c r="A102" s="188"/>
      <c r="B102" s="183">
        <v>94</v>
      </c>
      <c r="C102" s="186">
        <v>69</v>
      </c>
      <c r="D102" s="188"/>
      <c r="E102" s="188"/>
      <c r="F102" s="188"/>
      <c r="G102" s="188"/>
      <c r="H102" s="188"/>
      <c r="I102" s="188"/>
      <c r="J102" s="188"/>
      <c r="K102" s="188"/>
      <c r="L102" s="188"/>
      <c r="M102" s="188"/>
      <c r="N102" s="188"/>
      <c r="O102" s="188"/>
      <c r="P102" s="188"/>
      <c r="Q102" s="188"/>
      <c r="R102" s="188"/>
      <c r="S102" s="188"/>
      <c r="T102" s="188"/>
      <c r="U102" s="188"/>
      <c r="V102" s="188"/>
      <c r="W102" s="188"/>
      <c r="X102" s="188"/>
      <c r="Y102" s="188"/>
    </row>
    <row r="103" spans="1:25" ht="16">
      <c r="A103" s="188"/>
      <c r="B103" s="183">
        <v>95</v>
      </c>
      <c r="C103" s="186">
        <v>69</v>
      </c>
      <c r="D103" s="188"/>
      <c r="E103" s="188"/>
      <c r="F103" s="188"/>
      <c r="G103" s="188"/>
      <c r="H103" s="188"/>
      <c r="I103" s="188"/>
      <c r="J103" s="188"/>
      <c r="K103" s="188"/>
      <c r="L103" s="188"/>
      <c r="M103" s="188"/>
      <c r="N103" s="188"/>
      <c r="O103" s="188"/>
      <c r="P103" s="188"/>
      <c r="Q103" s="188"/>
      <c r="R103" s="188"/>
      <c r="S103" s="188"/>
      <c r="T103" s="188"/>
      <c r="U103" s="188"/>
      <c r="V103" s="188"/>
      <c r="W103" s="188"/>
      <c r="X103" s="188"/>
      <c r="Y103" s="188"/>
    </row>
    <row r="104" spans="1:25" ht="16">
      <c r="A104" s="188"/>
      <c r="B104" s="183">
        <v>96</v>
      </c>
      <c r="C104" s="186">
        <v>69</v>
      </c>
      <c r="D104" s="188"/>
      <c r="E104" s="188"/>
      <c r="F104" s="188"/>
      <c r="G104" s="188"/>
      <c r="H104" s="188"/>
      <c r="I104" s="188"/>
      <c r="J104" s="188"/>
      <c r="K104" s="188"/>
      <c r="L104" s="188"/>
      <c r="M104" s="188"/>
      <c r="N104" s="188"/>
      <c r="O104" s="188"/>
      <c r="P104" s="188"/>
      <c r="Q104" s="188"/>
      <c r="R104" s="188"/>
      <c r="S104" s="188"/>
      <c r="T104" s="188"/>
      <c r="U104" s="188"/>
      <c r="V104" s="188"/>
      <c r="W104" s="188"/>
      <c r="X104" s="188"/>
      <c r="Y104" s="188"/>
    </row>
    <row r="105" spans="1:25" ht="16">
      <c r="A105" s="188"/>
      <c r="B105" s="183">
        <v>97</v>
      </c>
      <c r="C105" s="186">
        <v>69</v>
      </c>
      <c r="D105" s="188"/>
      <c r="E105" s="188"/>
      <c r="F105" s="188"/>
      <c r="G105" s="188"/>
      <c r="H105" s="188"/>
      <c r="I105" s="188"/>
      <c r="J105" s="188"/>
      <c r="K105" s="188"/>
      <c r="L105" s="188"/>
      <c r="M105" s="188"/>
      <c r="N105" s="188"/>
      <c r="O105" s="188"/>
      <c r="P105" s="188"/>
      <c r="Q105" s="188"/>
      <c r="R105" s="188"/>
      <c r="S105" s="188"/>
      <c r="T105" s="188"/>
      <c r="U105" s="188"/>
      <c r="V105" s="188"/>
      <c r="W105" s="188"/>
      <c r="X105" s="188"/>
      <c r="Y105" s="188"/>
    </row>
    <row r="106" spans="1:25" ht="16">
      <c r="A106" s="188"/>
      <c r="B106" s="183">
        <v>98</v>
      </c>
      <c r="C106" s="186">
        <v>69</v>
      </c>
      <c r="D106" s="188"/>
      <c r="E106" s="188"/>
      <c r="F106" s="188"/>
      <c r="G106" s="188"/>
      <c r="H106" s="188"/>
      <c r="I106" s="188"/>
      <c r="J106" s="188"/>
      <c r="K106" s="188"/>
      <c r="L106" s="188"/>
      <c r="M106" s="188"/>
      <c r="N106" s="188"/>
      <c r="O106" s="188"/>
      <c r="P106" s="188"/>
      <c r="Q106" s="188"/>
      <c r="R106" s="188"/>
      <c r="S106" s="188"/>
      <c r="T106" s="188"/>
      <c r="U106" s="188"/>
      <c r="V106" s="188"/>
      <c r="W106" s="188"/>
      <c r="X106" s="188"/>
      <c r="Y106" s="188"/>
    </row>
    <row r="107" spans="1:25" ht="16">
      <c r="A107" s="188"/>
      <c r="B107" s="183">
        <v>99</v>
      </c>
      <c r="C107" s="186">
        <v>69</v>
      </c>
      <c r="D107" s="188"/>
      <c r="E107" s="188"/>
      <c r="F107" s="188"/>
      <c r="G107" s="188"/>
      <c r="H107" s="188"/>
      <c r="I107" s="188"/>
      <c r="J107" s="188"/>
      <c r="K107" s="188"/>
      <c r="L107" s="188"/>
      <c r="M107" s="188"/>
      <c r="N107" s="188"/>
      <c r="O107" s="188"/>
      <c r="P107" s="188"/>
      <c r="Q107" s="188"/>
      <c r="R107" s="188"/>
      <c r="S107" s="188"/>
      <c r="T107" s="188"/>
      <c r="U107" s="188"/>
      <c r="V107" s="188"/>
      <c r="W107" s="188"/>
      <c r="X107" s="188"/>
      <c r="Y107" s="188"/>
    </row>
    <row r="108" spans="1:25" ht="17" thickBot="1">
      <c r="A108" s="188"/>
      <c r="B108" s="184">
        <v>100</v>
      </c>
      <c r="C108" s="187">
        <v>69</v>
      </c>
      <c r="D108" s="188"/>
      <c r="E108" s="188"/>
      <c r="F108" s="188"/>
      <c r="G108" s="188"/>
      <c r="H108" s="188"/>
      <c r="I108" s="188"/>
      <c r="J108" s="188"/>
      <c r="K108" s="188"/>
      <c r="L108" s="188"/>
      <c r="M108" s="188"/>
      <c r="N108" s="188"/>
      <c r="O108" s="188"/>
      <c r="P108" s="188"/>
      <c r="Q108" s="188"/>
      <c r="R108" s="188"/>
      <c r="S108" s="188"/>
      <c r="T108" s="188"/>
      <c r="U108" s="188"/>
      <c r="V108" s="188"/>
      <c r="W108" s="188"/>
      <c r="X108" s="188"/>
      <c r="Y108" s="188"/>
    </row>
    <row r="109" spans="1:25">
      <c r="A109" s="188"/>
      <c r="B109" s="188"/>
      <c r="C109" s="188"/>
      <c r="D109" s="188"/>
      <c r="E109" s="188"/>
      <c r="F109" s="188"/>
      <c r="G109" s="188"/>
      <c r="H109" s="188"/>
      <c r="I109" s="188"/>
      <c r="J109" s="188"/>
      <c r="K109" s="188"/>
      <c r="L109" s="188"/>
      <c r="M109" s="188"/>
      <c r="N109" s="188"/>
      <c r="O109" s="188"/>
      <c r="P109" s="188"/>
      <c r="Q109" s="188"/>
      <c r="R109" s="188"/>
      <c r="S109" s="188"/>
      <c r="T109" s="188"/>
      <c r="U109" s="188"/>
      <c r="V109" s="188"/>
      <c r="W109" s="188"/>
      <c r="X109" s="188"/>
      <c r="Y109" s="188"/>
    </row>
    <row r="110" spans="1:25">
      <c r="A110" s="188"/>
      <c r="B110" s="188"/>
      <c r="C110" s="188"/>
      <c r="D110" s="188"/>
      <c r="E110" s="188"/>
      <c r="F110" s="188"/>
      <c r="G110" s="188"/>
      <c r="H110" s="188"/>
      <c r="I110" s="188"/>
      <c r="J110" s="188"/>
      <c r="K110" s="188"/>
      <c r="L110" s="188"/>
      <c r="M110" s="188"/>
      <c r="N110" s="188"/>
      <c r="O110" s="188"/>
      <c r="P110" s="188"/>
      <c r="Q110" s="188"/>
      <c r="R110" s="188"/>
      <c r="S110" s="188"/>
      <c r="T110" s="188"/>
      <c r="U110" s="188"/>
      <c r="V110" s="188"/>
      <c r="W110" s="188"/>
      <c r="X110" s="188"/>
      <c r="Y110" s="188"/>
    </row>
    <row r="111" spans="1:25">
      <c r="A111" s="188"/>
      <c r="B111" s="188"/>
      <c r="C111" s="188"/>
      <c r="D111" s="188"/>
      <c r="E111" s="188"/>
      <c r="F111" s="188"/>
      <c r="G111" s="188"/>
      <c r="H111" s="188"/>
      <c r="I111" s="188"/>
      <c r="J111" s="188"/>
      <c r="K111" s="188"/>
      <c r="L111" s="188"/>
      <c r="M111" s="188"/>
      <c r="N111" s="188"/>
      <c r="O111" s="188"/>
      <c r="P111" s="188"/>
      <c r="Q111" s="188"/>
      <c r="R111" s="188"/>
      <c r="S111" s="188"/>
      <c r="T111" s="188"/>
      <c r="U111" s="188"/>
      <c r="V111" s="188"/>
      <c r="W111" s="188"/>
      <c r="X111" s="188"/>
      <c r="Y111" s="188"/>
    </row>
    <row r="112" spans="1:25">
      <c r="A112" s="188"/>
      <c r="B112" s="188"/>
      <c r="C112" s="188"/>
      <c r="D112" s="188"/>
      <c r="E112" s="188"/>
      <c r="F112" s="188"/>
      <c r="G112" s="188"/>
      <c r="H112" s="188"/>
      <c r="I112" s="188"/>
      <c r="J112" s="188"/>
      <c r="K112" s="188"/>
      <c r="L112" s="188"/>
      <c r="M112" s="188"/>
      <c r="N112" s="188"/>
      <c r="O112" s="188"/>
      <c r="P112" s="188"/>
      <c r="Q112" s="188"/>
      <c r="R112" s="188"/>
      <c r="S112" s="188"/>
      <c r="T112" s="188"/>
      <c r="U112" s="188"/>
      <c r="V112" s="188"/>
      <c r="W112" s="188"/>
      <c r="X112" s="188"/>
      <c r="Y112" s="188"/>
    </row>
    <row r="113" spans="1:25">
      <c r="A113" s="188"/>
      <c r="B113" s="188"/>
      <c r="C113" s="188"/>
      <c r="D113" s="188"/>
      <c r="E113" s="188"/>
      <c r="F113" s="188"/>
      <c r="G113" s="188"/>
      <c r="H113" s="188"/>
      <c r="I113" s="188"/>
      <c r="J113" s="188"/>
      <c r="K113" s="188"/>
      <c r="L113" s="188"/>
      <c r="M113" s="188"/>
      <c r="N113" s="188"/>
      <c r="O113" s="188"/>
      <c r="P113" s="188"/>
      <c r="Q113" s="188"/>
      <c r="R113" s="188"/>
      <c r="S113" s="188"/>
      <c r="T113" s="188"/>
      <c r="U113" s="188"/>
      <c r="V113" s="188"/>
      <c r="W113" s="188"/>
      <c r="X113" s="188"/>
      <c r="Y113" s="188"/>
    </row>
    <row r="114" spans="1:25">
      <c r="A114" s="188"/>
      <c r="B114" s="188"/>
      <c r="C114" s="188"/>
      <c r="D114" s="188"/>
      <c r="E114" s="188"/>
      <c r="F114" s="188"/>
      <c r="G114" s="188"/>
      <c r="H114" s="188"/>
      <c r="I114" s="188"/>
      <c r="J114" s="188"/>
      <c r="K114" s="188"/>
      <c r="L114" s="188"/>
      <c r="M114" s="188"/>
      <c r="N114" s="188"/>
      <c r="O114" s="188"/>
      <c r="P114" s="188"/>
      <c r="Q114" s="188"/>
      <c r="R114" s="188"/>
      <c r="S114" s="188"/>
      <c r="T114" s="188"/>
      <c r="U114" s="188"/>
      <c r="V114" s="188"/>
      <c r="W114" s="188"/>
      <c r="X114" s="188"/>
      <c r="Y114" s="188"/>
    </row>
    <row r="115" spans="1:25">
      <c r="A115" s="188"/>
      <c r="B115" s="188"/>
      <c r="C115" s="188"/>
      <c r="D115" s="188"/>
      <c r="E115" s="188"/>
      <c r="F115" s="188"/>
      <c r="G115" s="188"/>
      <c r="H115" s="188"/>
      <c r="I115" s="188"/>
      <c r="J115" s="188"/>
      <c r="K115" s="188"/>
      <c r="L115" s="188"/>
      <c r="M115" s="188"/>
      <c r="N115" s="188"/>
      <c r="O115" s="188"/>
      <c r="P115" s="188"/>
      <c r="Q115" s="188"/>
      <c r="R115" s="188"/>
      <c r="S115" s="188"/>
      <c r="T115" s="188"/>
      <c r="U115" s="188"/>
      <c r="V115" s="188"/>
      <c r="W115" s="188"/>
      <c r="X115" s="188"/>
      <c r="Y115" s="188"/>
    </row>
    <row r="116" spans="1:25">
      <c r="A116" s="188"/>
      <c r="B116" s="188"/>
      <c r="C116" s="188"/>
      <c r="D116" s="188"/>
      <c r="E116" s="188"/>
      <c r="F116" s="188"/>
      <c r="G116" s="188"/>
      <c r="H116" s="188"/>
      <c r="I116" s="188"/>
      <c r="J116" s="188"/>
      <c r="K116" s="188"/>
      <c r="L116" s="188"/>
      <c r="M116" s="188"/>
      <c r="N116" s="188"/>
      <c r="O116" s="188"/>
      <c r="P116" s="188"/>
      <c r="Q116" s="188"/>
      <c r="R116" s="188"/>
      <c r="S116" s="188"/>
      <c r="T116" s="188"/>
      <c r="U116" s="188"/>
      <c r="V116" s="188"/>
      <c r="W116" s="188"/>
      <c r="X116" s="188"/>
      <c r="Y116" s="188"/>
    </row>
    <row r="117" spans="1:25">
      <c r="A117" s="188"/>
      <c r="B117" s="188"/>
      <c r="C117" s="188"/>
      <c r="D117" s="188"/>
      <c r="E117" s="188"/>
      <c r="F117" s="188"/>
      <c r="G117" s="188"/>
      <c r="H117" s="188"/>
      <c r="I117" s="188"/>
      <c r="J117" s="188"/>
      <c r="K117" s="188"/>
      <c r="L117" s="188"/>
      <c r="M117" s="188"/>
      <c r="N117" s="188"/>
      <c r="O117" s="188"/>
      <c r="P117" s="188"/>
      <c r="Q117" s="188"/>
      <c r="R117" s="188"/>
      <c r="S117" s="188"/>
      <c r="T117" s="188"/>
      <c r="U117" s="188"/>
      <c r="V117" s="188"/>
      <c r="W117" s="188"/>
      <c r="X117" s="188"/>
      <c r="Y117" s="188"/>
    </row>
    <row r="118" spans="1:25">
      <c r="A118" s="188"/>
      <c r="B118" s="188"/>
      <c r="C118" s="188"/>
      <c r="D118" s="188"/>
      <c r="E118" s="188"/>
      <c r="F118" s="188"/>
      <c r="G118" s="188"/>
      <c r="H118" s="188"/>
      <c r="I118" s="188"/>
      <c r="J118" s="188"/>
      <c r="K118" s="188"/>
      <c r="L118" s="188"/>
      <c r="M118" s="188"/>
      <c r="N118" s="188"/>
      <c r="O118" s="188"/>
      <c r="P118" s="188"/>
      <c r="Q118" s="188"/>
      <c r="R118" s="188"/>
      <c r="S118" s="188"/>
      <c r="T118" s="188"/>
      <c r="U118" s="188"/>
      <c r="V118" s="188"/>
      <c r="W118" s="188"/>
      <c r="X118" s="188"/>
      <c r="Y118" s="188"/>
    </row>
    <row r="119" spans="1:25">
      <c r="A119" s="188"/>
      <c r="B119" s="188"/>
      <c r="C119" s="188"/>
      <c r="D119" s="188"/>
      <c r="E119" s="188"/>
      <c r="F119" s="188"/>
      <c r="G119" s="188"/>
      <c r="H119" s="188"/>
      <c r="I119" s="188"/>
      <c r="J119" s="188"/>
      <c r="K119" s="188"/>
      <c r="L119" s="188"/>
      <c r="M119" s="188"/>
      <c r="N119" s="188"/>
      <c r="O119" s="188"/>
      <c r="P119" s="188"/>
      <c r="Q119" s="188"/>
      <c r="R119" s="188"/>
      <c r="S119" s="188"/>
      <c r="T119" s="188"/>
      <c r="U119" s="188"/>
      <c r="V119" s="188"/>
      <c r="W119" s="188"/>
      <c r="X119" s="188"/>
      <c r="Y119" s="188"/>
    </row>
    <row r="120" spans="1:25">
      <c r="A120" s="188"/>
      <c r="B120" s="188"/>
      <c r="C120" s="188"/>
      <c r="D120" s="188"/>
      <c r="E120" s="188"/>
      <c r="F120" s="188"/>
      <c r="G120" s="188"/>
      <c r="H120" s="188"/>
      <c r="I120" s="188"/>
      <c r="J120" s="188"/>
      <c r="K120" s="188"/>
      <c r="L120" s="188"/>
      <c r="M120" s="188"/>
      <c r="N120" s="188"/>
      <c r="O120" s="188"/>
      <c r="P120" s="188"/>
      <c r="Q120" s="188"/>
      <c r="R120" s="188"/>
      <c r="S120" s="188"/>
      <c r="T120" s="188"/>
      <c r="U120" s="188"/>
      <c r="V120" s="188"/>
      <c r="W120" s="188"/>
      <c r="X120" s="188"/>
      <c r="Y120" s="188"/>
    </row>
    <row r="121" spans="1:25">
      <c r="A121" s="188"/>
      <c r="B121" s="188"/>
      <c r="C121" s="188"/>
      <c r="D121" s="188"/>
      <c r="E121" s="188"/>
      <c r="F121" s="188"/>
      <c r="G121" s="188"/>
      <c r="H121" s="188"/>
      <c r="I121" s="188"/>
      <c r="J121" s="188"/>
      <c r="K121" s="188"/>
      <c r="L121" s="188"/>
      <c r="M121" s="188"/>
      <c r="N121" s="188"/>
      <c r="O121" s="188"/>
      <c r="P121" s="188"/>
      <c r="Q121" s="188"/>
      <c r="R121" s="188"/>
      <c r="S121" s="188"/>
      <c r="T121" s="188"/>
      <c r="U121" s="188"/>
      <c r="V121" s="188"/>
      <c r="W121" s="188"/>
      <c r="X121" s="188"/>
      <c r="Y121" s="188"/>
    </row>
    <row r="122" spans="1:25">
      <c r="A122" s="188"/>
      <c r="B122" s="188"/>
      <c r="C122" s="188"/>
      <c r="D122" s="188"/>
      <c r="E122" s="188"/>
      <c r="F122" s="188"/>
      <c r="G122" s="188"/>
      <c r="H122" s="188"/>
      <c r="I122" s="188"/>
      <c r="J122" s="188"/>
      <c r="K122" s="188"/>
      <c r="L122" s="188"/>
      <c r="M122" s="188"/>
      <c r="N122" s="188"/>
      <c r="O122" s="188"/>
      <c r="P122" s="188"/>
      <c r="Q122" s="188"/>
      <c r="R122" s="188"/>
      <c r="S122" s="188"/>
      <c r="T122" s="188"/>
      <c r="U122" s="188"/>
      <c r="V122" s="188"/>
      <c r="W122" s="188"/>
      <c r="X122" s="188"/>
      <c r="Y122" s="188"/>
    </row>
    <row r="123" spans="1:25">
      <c r="A123" s="188"/>
      <c r="B123" s="188"/>
      <c r="C123" s="188"/>
      <c r="D123" s="188"/>
      <c r="E123" s="188"/>
      <c r="F123" s="188"/>
      <c r="G123" s="188"/>
      <c r="H123" s="188"/>
      <c r="I123" s="188"/>
      <c r="J123" s="188"/>
      <c r="K123" s="188"/>
      <c r="L123" s="188"/>
      <c r="M123" s="188"/>
      <c r="N123" s="188"/>
      <c r="O123" s="188"/>
      <c r="P123" s="188"/>
      <c r="Q123" s="188"/>
      <c r="R123" s="188"/>
      <c r="S123" s="188"/>
      <c r="T123" s="188"/>
      <c r="U123" s="188"/>
      <c r="V123" s="188"/>
      <c r="W123" s="188"/>
      <c r="X123" s="188"/>
      <c r="Y123" s="188"/>
    </row>
    <row r="124" spans="1:25">
      <c r="A124" s="188"/>
      <c r="B124" s="188"/>
      <c r="C124" s="188"/>
      <c r="D124" s="188"/>
      <c r="E124" s="188"/>
      <c r="F124" s="188"/>
      <c r="G124" s="188"/>
      <c r="H124" s="188"/>
      <c r="I124" s="188"/>
      <c r="J124" s="188"/>
      <c r="K124" s="188"/>
      <c r="L124" s="188"/>
      <c r="M124" s="188"/>
      <c r="N124" s="188"/>
      <c r="O124" s="188"/>
      <c r="P124" s="188"/>
      <c r="Q124" s="188"/>
      <c r="R124" s="188"/>
      <c r="S124" s="188"/>
      <c r="T124" s="188"/>
      <c r="U124" s="188"/>
      <c r="V124" s="188"/>
      <c r="W124" s="188"/>
      <c r="X124" s="188"/>
      <c r="Y124" s="188"/>
    </row>
    <row r="125" spans="1:25">
      <c r="A125" s="188"/>
      <c r="B125" s="188"/>
      <c r="C125" s="188"/>
      <c r="D125" s="188"/>
      <c r="E125" s="188"/>
      <c r="F125" s="188"/>
      <c r="G125" s="188"/>
      <c r="H125" s="188"/>
      <c r="I125" s="188"/>
      <c r="J125" s="188"/>
      <c r="K125" s="188"/>
      <c r="L125" s="188"/>
      <c r="M125" s="188"/>
      <c r="N125" s="188"/>
      <c r="O125" s="188"/>
      <c r="P125" s="188"/>
      <c r="Q125" s="188"/>
      <c r="R125" s="188"/>
      <c r="S125" s="188"/>
      <c r="T125" s="188"/>
      <c r="U125" s="188"/>
      <c r="V125" s="188"/>
      <c r="W125" s="188"/>
      <c r="X125" s="188"/>
      <c r="Y125" s="188"/>
    </row>
    <row r="126" spans="1:25">
      <c r="A126" s="188"/>
      <c r="B126" s="188"/>
      <c r="C126" s="188"/>
      <c r="D126" s="188"/>
      <c r="E126" s="188"/>
      <c r="F126" s="188"/>
      <c r="G126" s="188"/>
      <c r="H126" s="188"/>
      <c r="I126" s="188"/>
      <c r="J126" s="188"/>
      <c r="K126" s="188"/>
      <c r="L126" s="188"/>
      <c r="M126" s="188"/>
      <c r="N126" s="188"/>
      <c r="O126" s="188"/>
      <c r="P126" s="188"/>
      <c r="Q126" s="188"/>
      <c r="R126" s="188"/>
      <c r="S126" s="188"/>
      <c r="T126" s="188"/>
      <c r="U126" s="188"/>
      <c r="V126" s="188"/>
      <c r="W126" s="188"/>
      <c r="X126" s="188"/>
      <c r="Y126" s="188"/>
    </row>
    <row r="127" spans="1:25">
      <c r="A127" s="188"/>
      <c r="B127" s="188"/>
      <c r="C127" s="188"/>
      <c r="D127" s="188"/>
      <c r="E127" s="188"/>
      <c r="F127" s="188"/>
      <c r="G127" s="188"/>
      <c r="H127" s="188"/>
      <c r="I127" s="188"/>
      <c r="J127" s="188"/>
      <c r="K127" s="188"/>
      <c r="L127" s="188"/>
      <c r="M127" s="188"/>
      <c r="N127" s="188"/>
      <c r="O127" s="188"/>
      <c r="P127" s="188"/>
      <c r="Q127" s="188"/>
      <c r="R127" s="188"/>
      <c r="S127" s="188"/>
      <c r="T127" s="188"/>
      <c r="U127" s="188"/>
      <c r="V127" s="188"/>
      <c r="W127" s="188"/>
      <c r="X127" s="188"/>
      <c r="Y127" s="188"/>
    </row>
    <row r="128" spans="1:25">
      <c r="A128" s="188"/>
      <c r="B128" s="188"/>
      <c r="C128" s="188"/>
      <c r="D128" s="188"/>
      <c r="E128" s="188"/>
      <c r="F128" s="188"/>
      <c r="G128" s="188"/>
      <c r="H128" s="188"/>
      <c r="I128" s="188"/>
      <c r="J128" s="188"/>
      <c r="K128" s="188"/>
      <c r="L128" s="188"/>
      <c r="M128" s="188"/>
      <c r="N128" s="188"/>
      <c r="O128" s="188"/>
      <c r="P128" s="188"/>
      <c r="Q128" s="188"/>
      <c r="R128" s="188"/>
      <c r="S128" s="188"/>
      <c r="T128" s="188"/>
      <c r="U128" s="188"/>
      <c r="V128" s="188"/>
      <c r="W128" s="188"/>
      <c r="X128" s="188"/>
      <c r="Y128" s="188"/>
    </row>
    <row r="129" spans="1:25">
      <c r="A129" s="188"/>
      <c r="B129" s="188"/>
      <c r="C129" s="188"/>
      <c r="D129" s="188"/>
      <c r="E129" s="188"/>
      <c r="F129" s="188"/>
      <c r="G129" s="188"/>
      <c r="H129" s="188"/>
      <c r="I129" s="188"/>
      <c r="J129" s="188"/>
      <c r="K129" s="188"/>
      <c r="L129" s="188"/>
      <c r="M129" s="188"/>
      <c r="N129" s="188"/>
      <c r="O129" s="188"/>
      <c r="P129" s="188"/>
      <c r="Q129" s="188"/>
      <c r="R129" s="188"/>
      <c r="S129" s="188"/>
      <c r="T129" s="188"/>
      <c r="U129" s="188"/>
      <c r="V129" s="188"/>
      <c r="W129" s="188"/>
      <c r="X129" s="188"/>
      <c r="Y129" s="188"/>
    </row>
    <row r="130" spans="1:25">
      <c r="A130" s="188"/>
      <c r="B130" s="188"/>
      <c r="C130" s="188"/>
      <c r="D130" s="188"/>
      <c r="E130" s="188"/>
      <c r="F130" s="188"/>
      <c r="G130" s="188"/>
      <c r="H130" s="188"/>
      <c r="I130" s="188"/>
      <c r="J130" s="188"/>
      <c r="K130" s="188"/>
      <c r="L130" s="188"/>
      <c r="M130" s="188"/>
      <c r="N130" s="188"/>
      <c r="O130" s="188"/>
      <c r="P130" s="188"/>
      <c r="Q130" s="188"/>
      <c r="R130" s="188"/>
      <c r="S130" s="188"/>
      <c r="T130" s="188"/>
      <c r="U130" s="188"/>
      <c r="V130" s="188"/>
      <c r="W130" s="188"/>
      <c r="X130" s="188"/>
      <c r="Y130" s="188"/>
    </row>
    <row r="131" spans="1:25">
      <c r="A131" s="188"/>
      <c r="B131" s="188"/>
      <c r="C131" s="188"/>
      <c r="D131" s="188"/>
      <c r="E131" s="188"/>
      <c r="F131" s="188"/>
      <c r="G131" s="188"/>
      <c r="H131" s="188"/>
      <c r="I131" s="188"/>
      <c r="J131" s="188"/>
      <c r="K131" s="188"/>
      <c r="L131" s="188"/>
      <c r="M131" s="188"/>
      <c r="N131" s="188"/>
      <c r="O131" s="188"/>
      <c r="P131" s="188"/>
      <c r="Q131" s="188"/>
      <c r="R131" s="188"/>
      <c r="S131" s="188"/>
      <c r="T131" s="188"/>
      <c r="U131" s="188"/>
      <c r="V131" s="188"/>
      <c r="W131" s="188"/>
      <c r="X131" s="188"/>
      <c r="Y131" s="188"/>
    </row>
    <row r="132" spans="1:25">
      <c r="A132" s="188"/>
      <c r="B132" s="188"/>
      <c r="C132" s="188"/>
      <c r="D132" s="188"/>
      <c r="E132" s="188"/>
      <c r="F132" s="188"/>
      <c r="G132" s="188"/>
      <c r="H132" s="188"/>
      <c r="I132" s="188"/>
      <c r="J132" s="188"/>
      <c r="K132" s="188"/>
      <c r="L132" s="188"/>
      <c r="M132" s="188"/>
      <c r="N132" s="188"/>
      <c r="O132" s="188"/>
      <c r="P132" s="188"/>
      <c r="Q132" s="188"/>
      <c r="R132" s="188"/>
      <c r="S132" s="188"/>
      <c r="T132" s="188"/>
      <c r="U132" s="188"/>
      <c r="V132" s="188"/>
      <c r="W132" s="188"/>
      <c r="X132" s="188"/>
      <c r="Y132" s="188"/>
    </row>
    <row r="133" spans="1:25">
      <c r="A133" s="188"/>
      <c r="B133" s="188"/>
      <c r="C133" s="188"/>
      <c r="D133" s="188"/>
      <c r="E133" s="188"/>
      <c r="F133" s="188"/>
      <c r="G133" s="188"/>
      <c r="H133" s="188"/>
      <c r="I133" s="188"/>
      <c r="J133" s="188"/>
      <c r="K133" s="188"/>
      <c r="L133" s="188"/>
      <c r="M133" s="188"/>
      <c r="N133" s="188"/>
      <c r="O133" s="188"/>
      <c r="P133" s="188"/>
      <c r="Q133" s="188"/>
      <c r="R133" s="188"/>
      <c r="S133" s="188"/>
      <c r="T133" s="188"/>
      <c r="U133" s="188"/>
      <c r="V133" s="188"/>
      <c r="W133" s="188"/>
      <c r="X133" s="188"/>
      <c r="Y133" s="188"/>
    </row>
    <row r="134" spans="1:25">
      <c r="A134" s="188"/>
      <c r="B134" s="188"/>
      <c r="C134" s="188"/>
      <c r="D134" s="188"/>
      <c r="E134" s="188"/>
      <c r="F134" s="188"/>
      <c r="G134" s="188"/>
      <c r="H134" s="188"/>
      <c r="I134" s="188"/>
      <c r="J134" s="188"/>
      <c r="K134" s="188"/>
      <c r="L134" s="188"/>
      <c r="M134" s="188"/>
      <c r="N134" s="188"/>
      <c r="O134" s="188"/>
      <c r="P134" s="188"/>
      <c r="Q134" s="188"/>
      <c r="R134" s="188"/>
      <c r="S134" s="188"/>
      <c r="T134" s="188"/>
      <c r="U134" s="188"/>
      <c r="V134" s="188"/>
      <c r="W134" s="188"/>
      <c r="X134" s="188"/>
      <c r="Y134" s="188"/>
    </row>
    <row r="135" spans="1:25">
      <c r="A135" s="188"/>
      <c r="B135" s="188"/>
      <c r="C135" s="188"/>
      <c r="D135" s="188"/>
      <c r="E135" s="188"/>
      <c r="F135" s="188"/>
      <c r="G135" s="188"/>
      <c r="H135" s="188"/>
      <c r="I135" s="188"/>
      <c r="J135" s="188"/>
      <c r="K135" s="188"/>
      <c r="L135" s="188"/>
      <c r="M135" s="188"/>
      <c r="N135" s="188"/>
      <c r="O135" s="188"/>
      <c r="P135" s="188"/>
      <c r="Q135" s="188"/>
      <c r="R135" s="188"/>
      <c r="S135" s="188"/>
      <c r="T135" s="188"/>
      <c r="U135" s="188"/>
      <c r="V135" s="188"/>
      <c r="W135" s="188"/>
      <c r="X135" s="188"/>
      <c r="Y135" s="188"/>
    </row>
    <row r="136" spans="1:25">
      <c r="A136" s="188"/>
      <c r="B136" s="188"/>
      <c r="C136" s="188"/>
      <c r="D136" s="188"/>
      <c r="E136" s="188"/>
      <c r="F136" s="188"/>
      <c r="G136" s="188"/>
      <c r="H136" s="188"/>
      <c r="I136" s="188"/>
      <c r="J136" s="188"/>
      <c r="K136" s="188"/>
      <c r="L136" s="188"/>
      <c r="M136" s="188"/>
      <c r="N136" s="188"/>
      <c r="O136" s="188"/>
      <c r="P136" s="188"/>
      <c r="Q136" s="188"/>
      <c r="R136" s="188"/>
      <c r="S136" s="188"/>
      <c r="T136" s="188"/>
      <c r="U136" s="188"/>
      <c r="V136" s="188"/>
      <c r="W136" s="188"/>
      <c r="X136" s="188"/>
      <c r="Y136" s="188"/>
    </row>
    <row r="137" spans="1:25">
      <c r="A137" s="188"/>
      <c r="B137" s="188"/>
      <c r="C137" s="188"/>
      <c r="D137" s="188"/>
      <c r="E137" s="188"/>
      <c r="F137" s="188"/>
      <c r="G137" s="188"/>
      <c r="H137" s="188"/>
      <c r="I137" s="188"/>
      <c r="J137" s="188"/>
      <c r="K137" s="188"/>
      <c r="L137" s="188"/>
      <c r="M137" s="188"/>
      <c r="N137" s="188"/>
      <c r="O137" s="188"/>
      <c r="P137" s="188"/>
      <c r="Q137" s="188"/>
      <c r="R137" s="188"/>
      <c r="S137" s="188"/>
      <c r="T137" s="188"/>
      <c r="U137" s="188"/>
      <c r="V137" s="188"/>
      <c r="W137" s="188"/>
      <c r="X137" s="188"/>
      <c r="Y137" s="188"/>
    </row>
    <row r="138" spans="1:25">
      <c r="A138" s="188"/>
      <c r="B138" s="188"/>
      <c r="C138" s="188"/>
      <c r="D138" s="188"/>
      <c r="E138" s="188"/>
      <c r="F138" s="188"/>
      <c r="G138" s="188"/>
      <c r="H138" s="188"/>
      <c r="I138" s="188"/>
      <c r="J138" s="188"/>
      <c r="K138" s="188"/>
      <c r="L138" s="188"/>
      <c r="M138" s="188"/>
      <c r="N138" s="188"/>
      <c r="O138" s="188"/>
      <c r="P138" s="188"/>
      <c r="Q138" s="188"/>
      <c r="R138" s="188"/>
      <c r="S138" s="188"/>
      <c r="T138" s="188"/>
      <c r="U138" s="188"/>
      <c r="V138" s="188"/>
      <c r="W138" s="188"/>
      <c r="X138" s="188"/>
      <c r="Y138" s="188"/>
    </row>
    <row r="139" spans="1:25">
      <c r="A139" s="188"/>
      <c r="B139" s="188"/>
      <c r="C139" s="188"/>
      <c r="D139" s="188"/>
      <c r="E139" s="188"/>
      <c r="F139" s="188"/>
      <c r="G139" s="188"/>
      <c r="H139" s="188"/>
      <c r="I139" s="188"/>
      <c r="J139" s="188"/>
      <c r="K139" s="188"/>
      <c r="L139" s="188"/>
      <c r="M139" s="188"/>
      <c r="N139" s="188"/>
      <c r="O139" s="188"/>
      <c r="P139" s="188"/>
      <c r="Q139" s="188"/>
      <c r="R139" s="188"/>
      <c r="S139" s="188"/>
      <c r="T139" s="188"/>
      <c r="U139" s="188"/>
      <c r="V139" s="188"/>
      <c r="W139" s="188"/>
      <c r="X139" s="188"/>
      <c r="Y139" s="188"/>
    </row>
  </sheetData>
  <mergeCells count="2">
    <mergeCell ref="B3:N3"/>
    <mergeCell ref="B4:N4"/>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06C24-4F06-43AB-BE5E-938B1A50644C}">
  <sheetPr codeName="Sheet12"/>
  <dimension ref="A1:B53"/>
  <sheetViews>
    <sheetView workbookViewId="0"/>
  </sheetViews>
  <sheetFormatPr baseColWidth="10" defaultColWidth="8.83203125" defaultRowHeight="14"/>
  <cols>
    <col min="1" max="1" width="43" customWidth="1"/>
    <col min="2" max="2" width="20.6640625" customWidth="1"/>
  </cols>
  <sheetData>
    <row r="1" spans="1:2">
      <c r="A1" s="1" t="s">
        <v>29</v>
      </c>
      <c r="B1" s="1" t="s">
        <v>29</v>
      </c>
    </row>
    <row r="2" spans="1:2" ht="15">
      <c r="A2" s="2" t="s">
        <v>136</v>
      </c>
      <c r="B2" t="s">
        <v>58</v>
      </c>
    </row>
    <row r="3" spans="1:2" ht="15">
      <c r="A3" s="2" t="s">
        <v>87</v>
      </c>
      <c r="B3" t="s">
        <v>124</v>
      </c>
    </row>
    <row r="4" spans="1:2">
      <c r="A4" s="1" t="s">
        <v>29</v>
      </c>
      <c r="B4" s="1" t="s">
        <v>29</v>
      </c>
    </row>
    <row r="5" spans="1:2" ht="16">
      <c r="A5" s="11" t="s">
        <v>138</v>
      </c>
      <c r="B5" s="17">
        <v>3</v>
      </c>
    </row>
    <row r="6" spans="1:2" ht="16">
      <c r="A6" s="11" t="s">
        <v>139</v>
      </c>
      <c r="B6" s="17" t="s">
        <v>97</v>
      </c>
    </row>
    <row r="7" spans="1:2" ht="16">
      <c r="A7" s="11" t="s">
        <v>140</v>
      </c>
      <c r="B7" s="17" t="s">
        <v>126</v>
      </c>
    </row>
    <row r="8" spans="1:2" ht="16">
      <c r="A8" s="11" t="s">
        <v>141</v>
      </c>
      <c r="B8" s="17" t="s">
        <v>127</v>
      </c>
    </row>
    <row r="9" spans="1:2" ht="16">
      <c r="A9" s="11" t="s">
        <v>142</v>
      </c>
      <c r="B9" s="17" t="s">
        <v>128</v>
      </c>
    </row>
    <row r="10" spans="1:2" ht="16">
      <c r="A10" s="14" t="s">
        <v>143</v>
      </c>
      <c r="B10" s="17" t="s">
        <v>128</v>
      </c>
    </row>
    <row r="11" spans="1:2" ht="16">
      <c r="A11" s="11" t="s">
        <v>144</v>
      </c>
      <c r="B11" s="17" t="s">
        <v>128</v>
      </c>
    </row>
    <row r="12" spans="1:2" ht="16">
      <c r="A12" s="11" t="s">
        <v>145</v>
      </c>
      <c r="B12" s="17" t="s">
        <v>127</v>
      </c>
    </row>
    <row r="13" spans="1:2" ht="16">
      <c r="A13" s="11" t="s">
        <v>122</v>
      </c>
      <c r="B13" s="17" t="s">
        <v>127</v>
      </c>
    </row>
    <row r="14" spans="1:2" ht="16">
      <c r="A14" s="11" t="s">
        <v>182</v>
      </c>
      <c r="B14" s="17" t="s">
        <v>97</v>
      </c>
    </row>
    <row r="15" spans="1:2" ht="16">
      <c r="A15" s="38" t="s">
        <v>147</v>
      </c>
      <c r="B15" s="17" t="s">
        <v>97</v>
      </c>
    </row>
    <row r="16" spans="1:2" ht="16">
      <c r="A16" s="11" t="s">
        <v>146</v>
      </c>
      <c r="B16" s="17" t="s">
        <v>97</v>
      </c>
    </row>
    <row r="17" spans="1:2" ht="16">
      <c r="A17" s="11" t="s">
        <v>148</v>
      </c>
      <c r="B17" s="17" t="s">
        <v>130</v>
      </c>
    </row>
    <row r="18" spans="1:2" ht="16">
      <c r="A18" s="11" t="s">
        <v>149</v>
      </c>
      <c r="B18" s="17" t="s">
        <v>127</v>
      </c>
    </row>
    <row r="19" spans="1:2" ht="16">
      <c r="A19" s="11" t="s">
        <v>120</v>
      </c>
      <c r="B19" s="17" t="s">
        <v>127</v>
      </c>
    </row>
    <row r="20" spans="1:2" ht="16">
      <c r="A20" s="11" t="s">
        <v>150</v>
      </c>
      <c r="B20" s="17" t="s">
        <v>127</v>
      </c>
    </row>
    <row r="21" spans="1:2" ht="16">
      <c r="A21" s="11" t="s">
        <v>151</v>
      </c>
      <c r="B21" s="17" t="s">
        <v>127</v>
      </c>
    </row>
    <row r="22" spans="1:2" ht="16">
      <c r="A22" s="10" t="s">
        <v>152</v>
      </c>
      <c r="B22" s="17" t="s">
        <v>127</v>
      </c>
    </row>
    <row r="23" spans="1:2" ht="16">
      <c r="A23" s="10" t="s">
        <v>153</v>
      </c>
      <c r="B23" s="17" t="s">
        <v>127</v>
      </c>
    </row>
    <row r="24" spans="1:2" ht="16">
      <c r="A24" s="11" t="s">
        <v>154</v>
      </c>
      <c r="B24" s="17" t="s">
        <v>127</v>
      </c>
    </row>
    <row r="25" spans="1:2" ht="16">
      <c r="A25" s="10" t="s">
        <v>155</v>
      </c>
      <c r="B25" s="17" t="s">
        <v>127</v>
      </c>
    </row>
    <row r="26" spans="1:2" ht="16">
      <c r="A26" s="11" t="s">
        <v>156</v>
      </c>
      <c r="B26" s="17" t="s">
        <v>127</v>
      </c>
    </row>
    <row r="27" spans="1:2" ht="16">
      <c r="A27" s="14" t="s">
        <v>157</v>
      </c>
      <c r="B27" s="17" t="s">
        <v>126</v>
      </c>
    </row>
    <row r="28" spans="1:2" ht="16">
      <c r="A28" s="11" t="s">
        <v>158</v>
      </c>
      <c r="B28" s="17" t="s">
        <v>126</v>
      </c>
    </row>
    <row r="29" spans="1:2" ht="16">
      <c r="A29" s="11" t="s">
        <v>159</v>
      </c>
      <c r="B29" s="17" t="s">
        <v>131</v>
      </c>
    </row>
    <row r="30" spans="1:2" ht="16">
      <c r="A30" s="11" t="s">
        <v>160</v>
      </c>
      <c r="B30" s="17" t="s">
        <v>127</v>
      </c>
    </row>
    <row r="31" spans="1:2" ht="16">
      <c r="A31" s="11" t="s">
        <v>161</v>
      </c>
      <c r="B31" s="17" t="s">
        <v>132</v>
      </c>
    </row>
    <row r="32" spans="1:2" ht="16">
      <c r="A32" s="11" t="s">
        <v>162</v>
      </c>
      <c r="B32" s="17" t="s">
        <v>128</v>
      </c>
    </row>
    <row r="33" spans="1:2" ht="16">
      <c r="A33" s="11" t="s">
        <v>192</v>
      </c>
      <c r="B33" s="17" t="s">
        <v>126</v>
      </c>
    </row>
    <row r="34" spans="1:2" ht="16">
      <c r="A34" s="11" t="s">
        <v>163</v>
      </c>
      <c r="B34" s="17" t="s">
        <v>127</v>
      </c>
    </row>
    <row r="35" spans="1:2" ht="16">
      <c r="A35" s="11" t="s">
        <v>164</v>
      </c>
      <c r="B35" s="17" t="s">
        <v>127</v>
      </c>
    </row>
    <row r="36" spans="1:2" ht="16">
      <c r="A36" s="11" t="s">
        <v>165</v>
      </c>
      <c r="B36" s="17" t="s">
        <v>127</v>
      </c>
    </row>
    <row r="37" spans="1:2" ht="16">
      <c r="A37" s="11" t="s">
        <v>166</v>
      </c>
      <c r="B37" s="17" t="s">
        <v>127</v>
      </c>
    </row>
    <row r="38" spans="1:2" ht="16">
      <c r="A38" s="10" t="s">
        <v>167</v>
      </c>
      <c r="B38" s="17" t="s">
        <v>127</v>
      </c>
    </row>
    <row r="39" spans="1:2" ht="16">
      <c r="A39" s="10" t="s">
        <v>168</v>
      </c>
      <c r="B39" s="17" t="s">
        <v>127</v>
      </c>
    </row>
    <row r="40" spans="1:2" ht="16">
      <c r="A40" s="11" t="s">
        <v>169</v>
      </c>
      <c r="B40" s="17" t="s">
        <v>127</v>
      </c>
    </row>
    <row r="41" spans="1:2" ht="16">
      <c r="A41" s="11" t="s">
        <v>170</v>
      </c>
      <c r="B41" s="17" t="s">
        <v>127</v>
      </c>
    </row>
    <row r="42" spans="1:2" ht="16">
      <c r="A42" s="11" t="s">
        <v>171</v>
      </c>
      <c r="B42" s="17" t="s">
        <v>127</v>
      </c>
    </row>
    <row r="43" spans="1:2" ht="16">
      <c r="A43" s="11" t="s">
        <v>172</v>
      </c>
      <c r="B43" s="17" t="s">
        <v>128</v>
      </c>
    </row>
    <row r="44" spans="1:2" ht="16">
      <c r="A44" s="11" t="s">
        <v>173</v>
      </c>
      <c r="B44" s="17" t="s">
        <v>128</v>
      </c>
    </row>
    <row r="45" spans="1:2" ht="16">
      <c r="A45" s="11" t="s">
        <v>174</v>
      </c>
      <c r="B45" s="17" t="s">
        <v>128</v>
      </c>
    </row>
    <row r="46" spans="1:2" ht="16">
      <c r="A46" s="11" t="s">
        <v>175</v>
      </c>
      <c r="B46" s="17" t="s">
        <v>128</v>
      </c>
    </row>
    <row r="47" spans="1:2" ht="16">
      <c r="A47" s="10" t="s">
        <v>19</v>
      </c>
      <c r="B47" s="17" t="s">
        <v>134</v>
      </c>
    </row>
    <row r="48" spans="1:2" ht="16">
      <c r="A48" s="39" t="s">
        <v>177</v>
      </c>
      <c r="B48" s="17" t="s">
        <v>134</v>
      </c>
    </row>
    <row r="49" spans="1:2" ht="16">
      <c r="A49" s="10" t="s">
        <v>176</v>
      </c>
      <c r="B49" s="17" t="s">
        <v>133</v>
      </c>
    </row>
    <row r="50" spans="1:2" ht="16">
      <c r="A50" s="11" t="s">
        <v>178</v>
      </c>
      <c r="B50" s="17" t="s">
        <v>135</v>
      </c>
    </row>
    <row r="51" spans="1:2" ht="16">
      <c r="A51" s="11" t="s">
        <v>179</v>
      </c>
      <c r="B51" s="17" t="s">
        <v>127</v>
      </c>
    </row>
    <row r="52" spans="1:2" ht="16">
      <c r="A52" s="11" t="s">
        <v>180</v>
      </c>
      <c r="B52" s="17" t="s">
        <v>127</v>
      </c>
    </row>
    <row r="53" spans="1:2" ht="16">
      <c r="A53" s="10" t="s">
        <v>181</v>
      </c>
      <c r="B53" s="17" t="s">
        <v>129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4B22B-905E-4489-A93C-DFAA4E8BAEFF}">
  <sheetPr codeName="Sheet3"/>
  <dimension ref="A1:AM79"/>
  <sheetViews>
    <sheetView workbookViewId="0"/>
  </sheetViews>
  <sheetFormatPr baseColWidth="10" defaultColWidth="8.83203125" defaultRowHeight="14"/>
  <cols>
    <col min="1" max="1" width="11.83203125" customWidth="1"/>
    <col min="2" max="2" width="12.5" customWidth="1"/>
    <col min="3" max="3" width="24.33203125" bestFit="1" customWidth="1"/>
    <col min="4" max="4" width="9.5" customWidth="1"/>
    <col min="5" max="5" width="5.1640625" bestFit="1" customWidth="1"/>
    <col min="6" max="6" width="5.5" bestFit="1" customWidth="1"/>
    <col min="7" max="9" width="4.83203125" bestFit="1" customWidth="1"/>
    <col min="10" max="10" width="6" customWidth="1"/>
    <col min="11" max="11" width="4.83203125" bestFit="1" customWidth="1"/>
    <col min="12" max="12" width="5.6640625" customWidth="1"/>
    <col min="13" max="13" width="5.83203125" bestFit="1" customWidth="1"/>
    <col min="14" max="15" width="5.1640625" bestFit="1" customWidth="1"/>
    <col min="16" max="17" width="6" bestFit="1" customWidth="1"/>
    <col min="18" max="19" width="5.83203125" bestFit="1" customWidth="1"/>
    <col min="20" max="20" width="5.83203125" customWidth="1"/>
  </cols>
  <sheetData>
    <row r="1" spans="1:39">
      <c r="A1" s="202"/>
      <c r="B1" s="202"/>
      <c r="C1" s="202"/>
      <c r="D1" s="202"/>
      <c r="E1" s="202"/>
      <c r="F1" s="202"/>
      <c r="G1" s="202"/>
      <c r="H1" s="202"/>
      <c r="I1" s="202"/>
      <c r="J1" s="202"/>
      <c r="K1" s="202"/>
      <c r="L1" s="202"/>
      <c r="M1" s="202"/>
      <c r="N1" s="202"/>
      <c r="O1" s="202"/>
      <c r="P1" s="202"/>
      <c r="Q1" s="202"/>
      <c r="R1" s="202"/>
      <c r="S1" s="202"/>
      <c r="T1" s="202"/>
      <c r="U1" s="202"/>
      <c r="V1" s="202"/>
      <c r="W1" s="202"/>
      <c r="X1" s="202"/>
      <c r="Y1" s="202"/>
      <c r="Z1" s="202"/>
      <c r="AA1" s="202"/>
      <c r="AB1" s="202"/>
      <c r="AC1" s="202"/>
      <c r="AD1" s="202"/>
      <c r="AE1" s="202"/>
      <c r="AF1" s="202"/>
      <c r="AG1" s="202"/>
      <c r="AH1" s="202"/>
      <c r="AI1" s="202"/>
      <c r="AJ1" s="202"/>
      <c r="AK1" s="202"/>
      <c r="AL1" s="202"/>
      <c r="AM1" s="202"/>
    </row>
    <row r="2" spans="1:39">
      <c r="A2" s="202"/>
      <c r="B2" s="202"/>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row>
    <row r="3" spans="1:39">
      <c r="A3" s="202"/>
      <c r="B3" s="202"/>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202"/>
      <c r="AG3" s="202"/>
      <c r="AH3" s="202"/>
      <c r="AI3" s="202"/>
      <c r="AJ3" s="202"/>
      <c r="AK3" s="202"/>
      <c r="AL3" s="202"/>
      <c r="AM3" s="202"/>
    </row>
    <row r="4" spans="1:39">
      <c r="A4" s="202"/>
      <c r="B4" s="202"/>
      <c r="C4" s="202"/>
      <c r="D4" s="202"/>
      <c r="E4" s="202"/>
      <c r="F4" s="202"/>
      <c r="G4" s="202"/>
      <c r="H4" s="202"/>
      <c r="I4" s="202"/>
      <c r="J4" s="202"/>
      <c r="K4" s="202"/>
      <c r="L4" s="202"/>
      <c r="M4" s="202"/>
      <c r="N4" s="202"/>
      <c r="O4" s="202"/>
      <c r="P4" s="202"/>
      <c r="Q4" s="202"/>
      <c r="R4" s="202"/>
      <c r="S4" s="202"/>
      <c r="T4" s="202"/>
      <c r="U4" s="202"/>
      <c r="V4" s="202"/>
      <c r="W4" s="202"/>
      <c r="X4" s="202"/>
      <c r="Y4" s="202"/>
      <c r="Z4" s="202"/>
      <c r="AA4" s="202"/>
      <c r="AB4" s="202"/>
      <c r="AC4" s="202"/>
      <c r="AD4" s="202"/>
      <c r="AE4" s="202"/>
      <c r="AF4" s="202"/>
      <c r="AG4" s="202"/>
      <c r="AH4" s="202"/>
      <c r="AI4" s="202"/>
      <c r="AJ4" s="202"/>
      <c r="AK4" s="202"/>
      <c r="AL4" s="202"/>
      <c r="AM4" s="202"/>
    </row>
    <row r="5" spans="1:39" ht="15" thickBot="1">
      <c r="A5" s="202"/>
      <c r="B5" s="202"/>
      <c r="C5" s="202"/>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202"/>
      <c r="AM5" s="202"/>
    </row>
    <row r="6" spans="1:39" ht="31.5" customHeight="1">
      <c r="A6" s="450"/>
      <c r="B6" s="451"/>
      <c r="C6" s="2563" t="s">
        <v>524</v>
      </c>
      <c r="D6" s="2563"/>
      <c r="E6" s="2563"/>
      <c r="F6" s="2563"/>
      <c r="G6" s="2563"/>
      <c r="H6" s="2563"/>
      <c r="I6" s="2563"/>
      <c r="J6" s="2563"/>
      <c r="K6" s="2563"/>
      <c r="L6" s="2563"/>
      <c r="M6" s="2563"/>
      <c r="N6" s="2563"/>
      <c r="O6" s="2563"/>
      <c r="P6" s="2563"/>
      <c r="Q6" s="2563"/>
      <c r="R6" s="2563"/>
      <c r="S6" s="2563"/>
      <c r="T6" s="2564"/>
      <c r="U6" s="202"/>
      <c r="V6" s="202"/>
      <c r="W6" s="202"/>
      <c r="X6" s="202"/>
      <c r="Y6" s="202"/>
      <c r="Z6" s="202"/>
      <c r="AA6" s="202"/>
      <c r="AB6" s="202"/>
      <c r="AC6" s="202"/>
      <c r="AD6" s="202"/>
      <c r="AE6" s="202"/>
      <c r="AF6" s="202"/>
      <c r="AG6" s="202"/>
      <c r="AH6" s="202"/>
      <c r="AI6" s="202"/>
      <c r="AJ6" s="202"/>
      <c r="AK6" s="202"/>
      <c r="AL6" s="202"/>
      <c r="AM6" s="202"/>
    </row>
    <row r="7" spans="1:39" ht="51">
      <c r="A7" s="452" t="s">
        <v>469</v>
      </c>
      <c r="B7" s="902" t="s">
        <v>470</v>
      </c>
      <c r="C7" s="438" t="s">
        <v>471</v>
      </c>
      <c r="D7" s="439" t="s">
        <v>472</v>
      </c>
      <c r="E7" s="440" t="s">
        <v>473</v>
      </c>
      <c r="F7" s="440" t="s">
        <v>474</v>
      </c>
      <c r="G7" s="440" t="s">
        <v>475</v>
      </c>
      <c r="H7" s="440" t="s">
        <v>476</v>
      </c>
      <c r="I7" s="440" t="s">
        <v>477</v>
      </c>
      <c r="J7" s="440" t="s">
        <v>478</v>
      </c>
      <c r="K7" s="440" t="s">
        <v>479</v>
      </c>
      <c r="L7" s="440" t="s">
        <v>480</v>
      </c>
      <c r="M7" s="441" t="s">
        <v>481</v>
      </c>
      <c r="N7" s="441" t="s">
        <v>482</v>
      </c>
      <c r="O7" s="441" t="s">
        <v>483</v>
      </c>
      <c r="P7" s="441" t="s">
        <v>484</v>
      </c>
      <c r="Q7" s="441" t="s">
        <v>485</v>
      </c>
      <c r="R7" s="442" t="s">
        <v>486</v>
      </c>
      <c r="S7" s="441" t="s">
        <v>487</v>
      </c>
      <c r="T7" s="453" t="s">
        <v>488</v>
      </c>
      <c r="U7" s="202"/>
      <c r="V7" s="202"/>
      <c r="W7" s="202"/>
      <c r="X7" s="202"/>
      <c r="Y7" s="202"/>
      <c r="Z7" s="202"/>
      <c r="AA7" s="202"/>
      <c r="AB7" s="202"/>
      <c r="AC7" s="202"/>
      <c r="AD7" s="202"/>
      <c r="AE7" s="202"/>
      <c r="AF7" s="202"/>
      <c r="AG7" s="202"/>
      <c r="AH7" s="202"/>
      <c r="AI7" s="202"/>
      <c r="AJ7" s="202"/>
      <c r="AK7" s="202"/>
      <c r="AL7" s="202"/>
      <c r="AM7" s="202"/>
    </row>
    <row r="8" spans="1:39" ht="16">
      <c r="A8" s="903"/>
      <c r="B8" s="904"/>
      <c r="C8" s="2565" t="s">
        <v>489</v>
      </c>
      <c r="D8" s="2566"/>
      <c r="E8" s="905"/>
      <c r="F8" s="906"/>
      <c r="G8" s="906"/>
      <c r="H8" s="906"/>
      <c r="I8" s="906"/>
      <c r="J8" s="906"/>
      <c r="K8" s="906"/>
      <c r="L8" s="906"/>
      <c r="M8" s="906"/>
      <c r="N8" s="906"/>
      <c r="O8" s="906"/>
      <c r="P8" s="906"/>
      <c r="Q8" s="906"/>
      <c r="R8" s="906"/>
      <c r="S8" s="906"/>
      <c r="T8" s="907"/>
      <c r="U8" s="202"/>
      <c r="V8" s="202"/>
      <c r="W8" s="202"/>
      <c r="X8" s="202"/>
      <c r="Y8" s="202"/>
      <c r="Z8" s="202"/>
      <c r="AA8" s="202"/>
      <c r="AB8" s="202"/>
      <c r="AC8" s="202"/>
      <c r="AD8" s="202"/>
      <c r="AE8" s="202"/>
      <c r="AF8" s="202"/>
      <c r="AG8" s="202"/>
      <c r="AH8" s="202"/>
      <c r="AI8" s="202"/>
      <c r="AJ8" s="202"/>
      <c r="AK8" s="202"/>
      <c r="AL8" s="202"/>
      <c r="AM8" s="202"/>
    </row>
    <row r="9" spans="1:39" ht="17">
      <c r="A9" s="454" t="s">
        <v>490</v>
      </c>
      <c r="B9" s="911" t="s">
        <v>491</v>
      </c>
      <c r="C9" s="413" t="s">
        <v>492</v>
      </c>
      <c r="D9" s="443" t="s">
        <v>493</v>
      </c>
      <c r="E9" s="445">
        <v>8.5</v>
      </c>
      <c r="F9" s="444" t="s">
        <v>494</v>
      </c>
      <c r="G9" s="445">
        <v>3</v>
      </c>
      <c r="H9" s="445">
        <v>2.5</v>
      </c>
      <c r="I9" s="445">
        <v>7</v>
      </c>
      <c r="J9" s="445">
        <v>10</v>
      </c>
      <c r="K9" s="445">
        <v>5</v>
      </c>
      <c r="L9" s="445">
        <v>9</v>
      </c>
      <c r="M9" s="445">
        <v>6.5</v>
      </c>
      <c r="N9" s="445">
        <v>1.5</v>
      </c>
      <c r="O9" s="445">
        <v>4</v>
      </c>
      <c r="P9" s="444" t="s">
        <v>494</v>
      </c>
      <c r="Q9" s="444" t="s">
        <v>494</v>
      </c>
      <c r="R9" s="444" t="s">
        <v>494</v>
      </c>
      <c r="S9" s="444" t="s">
        <v>494</v>
      </c>
      <c r="T9" s="455" t="s">
        <v>494</v>
      </c>
      <c r="U9" s="202"/>
      <c r="V9" s="202"/>
      <c r="W9" s="202"/>
      <c r="X9" s="202"/>
      <c r="Y9" s="202"/>
      <c r="Z9" s="202"/>
      <c r="AA9" s="202"/>
      <c r="AB9" s="202"/>
      <c r="AC9" s="202"/>
      <c r="AD9" s="202"/>
      <c r="AE9" s="202"/>
      <c r="AF9" s="202"/>
      <c r="AG9" s="202"/>
      <c r="AH9" s="202"/>
      <c r="AI9" s="202"/>
      <c r="AJ9" s="202"/>
      <c r="AK9" s="202"/>
      <c r="AL9" s="202"/>
      <c r="AM9" s="202"/>
    </row>
    <row r="10" spans="1:39" ht="16">
      <c r="A10" s="454" t="s">
        <v>495</v>
      </c>
      <c r="B10" s="446" t="s">
        <v>493</v>
      </c>
      <c r="C10" s="413" t="s">
        <v>496</v>
      </c>
      <c r="D10" s="446" t="s">
        <v>497</v>
      </c>
      <c r="E10" s="445">
        <v>5.5</v>
      </c>
      <c r="F10" s="444" t="s">
        <v>494</v>
      </c>
      <c r="G10" s="444" t="s">
        <v>494</v>
      </c>
      <c r="H10" s="444" t="s">
        <v>494</v>
      </c>
      <c r="I10" s="444" t="s">
        <v>494</v>
      </c>
      <c r="J10" s="445">
        <v>5.5</v>
      </c>
      <c r="K10" s="445">
        <v>3</v>
      </c>
      <c r="L10" s="445">
        <v>5</v>
      </c>
      <c r="M10" s="445">
        <v>3.5</v>
      </c>
      <c r="N10" s="445">
        <v>1</v>
      </c>
      <c r="O10" s="445">
        <v>1.5</v>
      </c>
      <c r="P10" s="445">
        <v>6.5</v>
      </c>
      <c r="Q10" s="445">
        <v>6</v>
      </c>
      <c r="R10" s="445">
        <v>6</v>
      </c>
      <c r="S10" s="445">
        <v>6</v>
      </c>
      <c r="T10" s="456">
        <v>4.5</v>
      </c>
      <c r="U10" s="202"/>
      <c r="V10" s="202"/>
      <c r="W10" s="202"/>
      <c r="X10" s="202"/>
      <c r="Y10" s="202"/>
      <c r="Z10" s="202"/>
      <c r="AA10" s="202"/>
      <c r="AB10" s="202"/>
      <c r="AC10" s="202"/>
      <c r="AD10" s="202"/>
      <c r="AE10" s="202"/>
      <c r="AF10" s="202"/>
      <c r="AG10" s="202"/>
      <c r="AH10" s="202"/>
      <c r="AI10" s="202"/>
      <c r="AJ10" s="202"/>
      <c r="AK10" s="202"/>
      <c r="AL10" s="202"/>
      <c r="AM10" s="202"/>
    </row>
    <row r="11" spans="1:39" ht="16">
      <c r="A11" s="454" t="s">
        <v>491</v>
      </c>
      <c r="B11" s="446" t="s">
        <v>495</v>
      </c>
      <c r="C11" s="413" t="s">
        <v>498</v>
      </c>
      <c r="D11" s="446" t="s">
        <v>497</v>
      </c>
      <c r="E11" s="445">
        <v>6.5</v>
      </c>
      <c r="F11" s="445">
        <v>1.5</v>
      </c>
      <c r="G11" s="445">
        <v>2</v>
      </c>
      <c r="H11" s="445">
        <v>2</v>
      </c>
      <c r="I11" s="445">
        <v>5.5</v>
      </c>
      <c r="J11" s="445">
        <v>7</v>
      </c>
      <c r="K11" s="445">
        <v>3.5</v>
      </c>
      <c r="L11" s="445">
        <v>6.5</v>
      </c>
      <c r="M11" s="445">
        <v>5.5</v>
      </c>
      <c r="N11" s="445">
        <v>1.5</v>
      </c>
      <c r="O11" s="445">
        <v>2.5</v>
      </c>
      <c r="P11" s="445">
        <v>4</v>
      </c>
      <c r="Q11" s="445">
        <v>4.5</v>
      </c>
      <c r="R11" s="445">
        <v>5</v>
      </c>
      <c r="S11" s="445">
        <v>6</v>
      </c>
      <c r="T11" s="456">
        <v>4</v>
      </c>
      <c r="U11" s="201"/>
      <c r="V11" s="202"/>
      <c r="W11" s="202"/>
      <c r="X11" s="202"/>
      <c r="Y11" s="202"/>
      <c r="Z11" s="202"/>
      <c r="AA11" s="202"/>
      <c r="AB11" s="202"/>
      <c r="AC11" s="202"/>
      <c r="AD11" s="202"/>
      <c r="AE11" s="202"/>
      <c r="AF11" s="202"/>
      <c r="AG11" s="202"/>
      <c r="AH11" s="202"/>
      <c r="AI11" s="202"/>
      <c r="AJ11" s="202"/>
      <c r="AK11" s="202"/>
      <c r="AL11" s="202"/>
      <c r="AM11" s="202"/>
    </row>
    <row r="12" spans="1:39" ht="16">
      <c r="A12" s="454" t="s">
        <v>490</v>
      </c>
      <c r="B12" s="446" t="s">
        <v>495</v>
      </c>
      <c r="C12" s="413" t="s">
        <v>499</v>
      </c>
      <c r="D12" s="446" t="s">
        <v>493</v>
      </c>
      <c r="E12" s="445">
        <v>7.5</v>
      </c>
      <c r="F12" s="445">
        <v>2</v>
      </c>
      <c r="G12" s="445">
        <v>3</v>
      </c>
      <c r="H12" s="445">
        <v>2.5</v>
      </c>
      <c r="I12" s="445">
        <v>6.5</v>
      </c>
      <c r="J12" s="445">
        <v>7</v>
      </c>
      <c r="K12" s="445">
        <v>5</v>
      </c>
      <c r="L12" s="445">
        <v>8</v>
      </c>
      <c r="M12" s="445">
        <v>6</v>
      </c>
      <c r="N12" s="445">
        <v>2</v>
      </c>
      <c r="O12" s="445">
        <v>4</v>
      </c>
      <c r="P12" s="444" t="s">
        <v>494</v>
      </c>
      <c r="Q12" s="444" t="s">
        <v>494</v>
      </c>
      <c r="R12" s="444" t="s">
        <v>494</v>
      </c>
      <c r="S12" s="445">
        <v>6</v>
      </c>
      <c r="T12" s="456">
        <v>5.5</v>
      </c>
      <c r="U12" s="202"/>
      <c r="V12" s="202"/>
      <c r="W12" s="202"/>
      <c r="X12" s="202"/>
      <c r="Y12" s="202"/>
      <c r="Z12" s="202"/>
      <c r="AA12" s="202"/>
      <c r="AB12" s="202"/>
      <c r="AC12" s="202"/>
      <c r="AD12" s="202"/>
      <c r="AE12" s="202"/>
      <c r="AF12" s="202"/>
      <c r="AG12" s="202"/>
      <c r="AH12" s="202"/>
      <c r="AI12" s="202"/>
      <c r="AJ12" s="202"/>
      <c r="AK12" s="202"/>
      <c r="AL12" s="202"/>
      <c r="AM12" s="202"/>
    </row>
    <row r="13" spans="1:39" ht="16">
      <c r="A13" s="454" t="s">
        <v>495</v>
      </c>
      <c r="B13" s="446" t="s">
        <v>493</v>
      </c>
      <c r="C13" s="413" t="s">
        <v>500</v>
      </c>
      <c r="D13" s="446" t="s">
        <v>493</v>
      </c>
      <c r="E13" s="445">
        <v>5</v>
      </c>
      <c r="F13" s="444" t="s">
        <v>494</v>
      </c>
      <c r="G13" s="445">
        <v>1.5</v>
      </c>
      <c r="H13" s="445">
        <v>0.5</v>
      </c>
      <c r="I13" s="445">
        <v>4</v>
      </c>
      <c r="J13" s="445">
        <v>6</v>
      </c>
      <c r="K13" s="445">
        <v>3.5</v>
      </c>
      <c r="L13" s="445">
        <v>5</v>
      </c>
      <c r="M13" s="445">
        <v>4</v>
      </c>
      <c r="N13" s="445">
        <v>1</v>
      </c>
      <c r="O13" s="445">
        <v>2</v>
      </c>
      <c r="P13" s="445">
        <v>6</v>
      </c>
      <c r="Q13" s="445">
        <v>5.5</v>
      </c>
      <c r="R13" s="445">
        <v>6.5</v>
      </c>
      <c r="S13" s="445">
        <v>6.5</v>
      </c>
      <c r="T13" s="456">
        <v>5</v>
      </c>
      <c r="U13" s="202"/>
      <c r="V13" s="202"/>
      <c r="W13" s="202"/>
      <c r="X13" s="202"/>
      <c r="Y13" s="202"/>
      <c r="Z13" s="202"/>
      <c r="AA13" s="202"/>
      <c r="AB13" s="202"/>
      <c r="AC13" s="202"/>
      <c r="AD13" s="202"/>
      <c r="AE13" s="202"/>
      <c r="AF13" s="202"/>
      <c r="AG13" s="202"/>
      <c r="AH13" s="202"/>
      <c r="AI13" s="202"/>
      <c r="AJ13" s="202"/>
      <c r="AK13" s="202"/>
      <c r="AL13" s="202"/>
      <c r="AM13" s="202"/>
    </row>
    <row r="14" spans="1:39" ht="16">
      <c r="A14" s="454" t="s">
        <v>493</v>
      </c>
      <c r="B14" s="446" t="s">
        <v>495</v>
      </c>
      <c r="C14" s="413" t="s">
        <v>501</v>
      </c>
      <c r="D14" s="446" t="s">
        <v>502</v>
      </c>
      <c r="E14" s="445">
        <v>5</v>
      </c>
      <c r="F14" s="445">
        <v>1</v>
      </c>
      <c r="G14" s="445">
        <v>1.5</v>
      </c>
      <c r="H14" s="445">
        <v>2</v>
      </c>
      <c r="I14" s="445">
        <v>4</v>
      </c>
      <c r="J14" s="445">
        <v>5.5</v>
      </c>
      <c r="K14" s="445">
        <v>3.5</v>
      </c>
      <c r="L14" s="445">
        <v>5</v>
      </c>
      <c r="M14" s="445">
        <v>4</v>
      </c>
      <c r="N14" s="445">
        <v>1.5</v>
      </c>
      <c r="O14" s="445">
        <v>3</v>
      </c>
      <c r="P14" s="444" t="s">
        <v>494</v>
      </c>
      <c r="Q14" s="445">
        <v>1</v>
      </c>
      <c r="R14" s="444" t="s">
        <v>494</v>
      </c>
      <c r="S14" s="445">
        <v>4.5</v>
      </c>
      <c r="T14" s="455" t="s">
        <v>494</v>
      </c>
      <c r="U14" s="202"/>
      <c r="V14" s="202"/>
      <c r="W14" s="202"/>
      <c r="X14" s="202"/>
      <c r="Y14" s="202"/>
      <c r="Z14" s="202"/>
      <c r="AA14" s="202"/>
      <c r="AB14" s="202"/>
      <c r="AC14" s="202"/>
      <c r="AD14" s="202"/>
      <c r="AE14" s="202"/>
      <c r="AF14" s="202"/>
      <c r="AG14" s="202"/>
      <c r="AH14" s="202"/>
      <c r="AI14" s="202"/>
      <c r="AJ14" s="202"/>
      <c r="AK14" s="202"/>
      <c r="AL14" s="202"/>
      <c r="AM14" s="202"/>
    </row>
    <row r="15" spans="1:39" ht="16">
      <c r="A15" s="454" t="s">
        <v>493</v>
      </c>
      <c r="B15" s="447" t="s">
        <v>491</v>
      </c>
      <c r="C15" s="413" t="s">
        <v>503</v>
      </c>
      <c r="D15" s="446" t="s">
        <v>493</v>
      </c>
      <c r="E15" s="445">
        <v>6.5</v>
      </c>
      <c r="F15" s="444" t="s">
        <v>494</v>
      </c>
      <c r="G15" s="445">
        <v>1.5</v>
      </c>
      <c r="H15" s="445">
        <v>2</v>
      </c>
      <c r="I15" s="445">
        <v>5</v>
      </c>
      <c r="J15" s="445">
        <v>7.5</v>
      </c>
      <c r="K15" s="445">
        <v>3.5</v>
      </c>
      <c r="L15" s="445">
        <v>7</v>
      </c>
      <c r="M15" s="445">
        <v>5</v>
      </c>
      <c r="N15" s="445">
        <v>1</v>
      </c>
      <c r="O15" s="445">
        <v>2</v>
      </c>
      <c r="P15" s="444" t="s">
        <v>494</v>
      </c>
      <c r="Q15" s="445">
        <v>1.5</v>
      </c>
      <c r="R15" s="444" t="s">
        <v>494</v>
      </c>
      <c r="S15" s="445">
        <v>6.5</v>
      </c>
      <c r="T15" s="455" t="s">
        <v>494</v>
      </c>
      <c r="U15" s="202"/>
      <c r="V15" s="202"/>
      <c r="W15" s="202"/>
      <c r="X15" s="202"/>
      <c r="Y15" s="202"/>
      <c r="Z15" s="202"/>
      <c r="AA15" s="202"/>
      <c r="AB15" s="202"/>
      <c r="AC15" s="202"/>
      <c r="AD15" s="202"/>
      <c r="AE15" s="202"/>
      <c r="AF15" s="202"/>
      <c r="AG15" s="202"/>
      <c r="AH15" s="202"/>
      <c r="AI15" s="202"/>
      <c r="AJ15" s="202"/>
      <c r="AK15" s="202"/>
      <c r="AL15" s="202"/>
      <c r="AM15" s="202"/>
    </row>
    <row r="16" spans="1:39" ht="16">
      <c r="A16" s="903"/>
      <c r="B16" s="904"/>
      <c r="C16" s="2565" t="s">
        <v>504</v>
      </c>
      <c r="D16" s="2566"/>
      <c r="E16" s="908"/>
      <c r="F16" s="909"/>
      <c r="G16" s="909"/>
      <c r="H16" s="909"/>
      <c r="I16" s="909"/>
      <c r="J16" s="909"/>
      <c r="K16" s="909"/>
      <c r="L16" s="909"/>
      <c r="M16" s="909"/>
      <c r="N16" s="909"/>
      <c r="O16" s="909"/>
      <c r="P16" s="909"/>
      <c r="Q16" s="909"/>
      <c r="R16" s="909"/>
      <c r="S16" s="909"/>
      <c r="T16" s="910"/>
      <c r="U16" s="202"/>
      <c r="V16" s="202"/>
      <c r="W16" s="202"/>
      <c r="X16" s="202"/>
      <c r="Y16" s="202"/>
      <c r="Z16" s="202"/>
      <c r="AA16" s="202"/>
      <c r="AB16" s="202"/>
      <c r="AC16" s="202"/>
      <c r="AD16" s="202"/>
      <c r="AE16" s="202"/>
      <c r="AF16" s="202"/>
      <c r="AG16" s="202"/>
      <c r="AH16" s="202"/>
      <c r="AI16" s="202"/>
      <c r="AJ16" s="202"/>
      <c r="AK16" s="202"/>
      <c r="AL16" s="202"/>
      <c r="AM16" s="202"/>
    </row>
    <row r="17" spans="1:39" ht="16">
      <c r="A17" s="454" t="s">
        <v>493</v>
      </c>
      <c r="B17" s="911" t="s">
        <v>493</v>
      </c>
      <c r="C17" s="413" t="s">
        <v>505</v>
      </c>
      <c r="D17" s="446" t="s">
        <v>497</v>
      </c>
      <c r="E17" s="445">
        <v>5</v>
      </c>
      <c r="F17" s="445">
        <v>1.5</v>
      </c>
      <c r="G17" s="444" t="s">
        <v>494</v>
      </c>
      <c r="H17" s="444" t="s">
        <v>494</v>
      </c>
      <c r="I17" s="445">
        <v>3</v>
      </c>
      <c r="J17" s="445">
        <v>5.5</v>
      </c>
      <c r="K17" s="445">
        <v>3</v>
      </c>
      <c r="L17" s="445">
        <v>5</v>
      </c>
      <c r="M17" s="445">
        <v>3</v>
      </c>
      <c r="N17" s="445">
        <v>1.5</v>
      </c>
      <c r="O17" s="445">
        <v>2.5</v>
      </c>
      <c r="P17" s="445">
        <v>6.5</v>
      </c>
      <c r="Q17" s="445">
        <v>5</v>
      </c>
      <c r="R17" s="445">
        <v>6.5</v>
      </c>
      <c r="S17" s="445">
        <v>6</v>
      </c>
      <c r="T17" s="456">
        <v>3.5</v>
      </c>
      <c r="U17" s="202"/>
      <c r="V17" s="202"/>
      <c r="W17" s="202"/>
      <c r="X17" s="202"/>
      <c r="Y17" s="202"/>
      <c r="Z17" s="202"/>
      <c r="AA17" s="202"/>
      <c r="AB17" s="202"/>
      <c r="AC17" s="202"/>
      <c r="AD17" s="202"/>
      <c r="AE17" s="202"/>
      <c r="AF17" s="202"/>
      <c r="AG17" s="202"/>
      <c r="AH17" s="202"/>
      <c r="AI17" s="202"/>
      <c r="AJ17" s="202"/>
      <c r="AK17" s="202"/>
      <c r="AL17" s="202"/>
      <c r="AM17" s="202"/>
    </row>
    <row r="18" spans="1:39" ht="16">
      <c r="A18" s="454" t="s">
        <v>491</v>
      </c>
      <c r="B18" s="446" t="s">
        <v>493</v>
      </c>
      <c r="C18" s="413" t="s">
        <v>506</v>
      </c>
      <c r="D18" s="446" t="s">
        <v>497</v>
      </c>
      <c r="E18" s="445">
        <v>7</v>
      </c>
      <c r="F18" s="444" t="s">
        <v>494</v>
      </c>
      <c r="G18" s="445">
        <v>1</v>
      </c>
      <c r="H18" s="445">
        <v>1</v>
      </c>
      <c r="I18" s="445">
        <v>5.5</v>
      </c>
      <c r="J18" s="445">
        <v>7</v>
      </c>
      <c r="K18" s="445">
        <v>4.5</v>
      </c>
      <c r="L18" s="445">
        <v>7</v>
      </c>
      <c r="M18" s="445">
        <v>5.5</v>
      </c>
      <c r="N18" s="444" t="s">
        <v>494</v>
      </c>
      <c r="O18" s="445">
        <v>3</v>
      </c>
      <c r="P18" s="445">
        <v>8</v>
      </c>
      <c r="Q18" s="445">
        <v>7</v>
      </c>
      <c r="R18" s="445">
        <v>8</v>
      </c>
      <c r="S18" s="445">
        <v>8</v>
      </c>
      <c r="T18" s="456">
        <v>6</v>
      </c>
      <c r="U18" s="202"/>
      <c r="V18" s="202"/>
      <c r="W18" s="202"/>
      <c r="X18" s="202"/>
      <c r="Y18" s="202"/>
      <c r="Z18" s="202"/>
      <c r="AA18" s="202"/>
      <c r="AB18" s="202"/>
      <c r="AC18" s="202"/>
      <c r="AD18" s="202"/>
      <c r="AE18" s="202"/>
      <c r="AF18" s="202"/>
      <c r="AG18" s="202"/>
      <c r="AH18" s="202"/>
      <c r="AI18" s="202"/>
      <c r="AJ18" s="202"/>
      <c r="AK18" s="202"/>
      <c r="AL18" s="202"/>
      <c r="AM18" s="202"/>
    </row>
    <row r="19" spans="1:39" ht="16">
      <c r="A19" s="454" t="s">
        <v>493</v>
      </c>
      <c r="B19" s="446" t="s">
        <v>490</v>
      </c>
      <c r="C19" s="413" t="s">
        <v>507</v>
      </c>
      <c r="D19" s="446" t="s">
        <v>497</v>
      </c>
      <c r="E19" s="445">
        <v>4</v>
      </c>
      <c r="F19" s="444" t="s">
        <v>494</v>
      </c>
      <c r="G19" s="444" t="s">
        <v>494</v>
      </c>
      <c r="H19" s="444" t="s">
        <v>494</v>
      </c>
      <c r="I19" s="445">
        <v>3</v>
      </c>
      <c r="J19" s="445">
        <v>4.5</v>
      </c>
      <c r="K19" s="445">
        <v>2.5</v>
      </c>
      <c r="L19" s="445">
        <v>4</v>
      </c>
      <c r="M19" s="445">
        <v>3</v>
      </c>
      <c r="N19" s="444" t="s">
        <v>494</v>
      </c>
      <c r="O19" s="445">
        <v>2.5</v>
      </c>
      <c r="P19" s="445">
        <v>5.5</v>
      </c>
      <c r="Q19" s="445">
        <v>5</v>
      </c>
      <c r="R19" s="445">
        <v>5.5</v>
      </c>
      <c r="S19" s="445">
        <v>5</v>
      </c>
      <c r="T19" s="456">
        <v>3</v>
      </c>
      <c r="U19" s="202"/>
      <c r="V19" s="202"/>
      <c r="W19" s="202"/>
      <c r="X19" s="202"/>
      <c r="Y19" s="202"/>
      <c r="Z19" s="202"/>
      <c r="AA19" s="202"/>
      <c r="AB19" s="202"/>
      <c r="AC19" s="202"/>
      <c r="AD19" s="202"/>
      <c r="AE19" s="202"/>
      <c r="AF19" s="202"/>
      <c r="AG19" s="202"/>
      <c r="AH19" s="202"/>
      <c r="AI19" s="202"/>
      <c r="AJ19" s="202"/>
      <c r="AK19" s="202"/>
      <c r="AL19" s="202"/>
      <c r="AM19" s="202"/>
    </row>
    <row r="20" spans="1:39" ht="16">
      <c r="A20" s="454" t="s">
        <v>493</v>
      </c>
      <c r="B20" s="446" t="s">
        <v>495</v>
      </c>
      <c r="C20" s="413" t="s">
        <v>508</v>
      </c>
      <c r="D20" s="446" t="s">
        <v>502</v>
      </c>
      <c r="E20" s="445">
        <v>4</v>
      </c>
      <c r="F20" s="445">
        <v>1.5</v>
      </c>
      <c r="G20" s="445">
        <v>2</v>
      </c>
      <c r="H20" s="445">
        <v>2</v>
      </c>
      <c r="I20" s="445">
        <v>3</v>
      </c>
      <c r="J20" s="445">
        <v>4.5</v>
      </c>
      <c r="K20" s="445">
        <v>2.5</v>
      </c>
      <c r="L20" s="445">
        <v>4</v>
      </c>
      <c r="M20" s="445">
        <v>3</v>
      </c>
      <c r="N20" s="445">
        <v>1.5</v>
      </c>
      <c r="O20" s="445">
        <v>2.5</v>
      </c>
      <c r="P20" s="445">
        <v>5.5</v>
      </c>
      <c r="Q20" s="445">
        <v>5</v>
      </c>
      <c r="R20" s="445">
        <v>5.5</v>
      </c>
      <c r="S20" s="445">
        <v>5</v>
      </c>
      <c r="T20" s="456">
        <v>3</v>
      </c>
      <c r="U20" s="202"/>
      <c r="V20" s="202"/>
      <c r="W20" s="202"/>
      <c r="X20" s="202"/>
      <c r="Y20" s="202"/>
      <c r="Z20" s="202"/>
      <c r="AA20" s="202"/>
      <c r="AB20" s="202"/>
      <c r="AC20" s="202"/>
      <c r="AD20" s="202"/>
      <c r="AE20" s="202"/>
      <c r="AF20" s="202"/>
      <c r="AG20" s="202"/>
      <c r="AH20" s="202"/>
      <c r="AI20" s="202"/>
      <c r="AJ20" s="202"/>
      <c r="AK20" s="202"/>
      <c r="AL20" s="202"/>
      <c r="AM20" s="202"/>
    </row>
    <row r="21" spans="1:39" ht="16">
      <c r="A21" s="454" t="s">
        <v>495</v>
      </c>
      <c r="B21" s="446" t="s">
        <v>491</v>
      </c>
      <c r="C21" s="413" t="s">
        <v>509</v>
      </c>
      <c r="D21" s="446" t="s">
        <v>497</v>
      </c>
      <c r="E21" s="445">
        <v>10</v>
      </c>
      <c r="F21" s="444" t="s">
        <v>494</v>
      </c>
      <c r="G21" s="445">
        <v>2</v>
      </c>
      <c r="H21" s="445">
        <v>2.5</v>
      </c>
      <c r="I21" s="445">
        <v>8</v>
      </c>
      <c r="J21" s="445">
        <v>10</v>
      </c>
      <c r="K21" s="445">
        <v>6</v>
      </c>
      <c r="L21" s="445">
        <v>10</v>
      </c>
      <c r="M21" s="445">
        <v>8</v>
      </c>
      <c r="N21" s="445">
        <v>1.5</v>
      </c>
      <c r="O21" s="445">
        <v>4</v>
      </c>
      <c r="P21" s="445">
        <v>11</v>
      </c>
      <c r="Q21" s="445">
        <v>10</v>
      </c>
      <c r="R21" s="445">
        <v>11</v>
      </c>
      <c r="S21" s="445">
        <v>10.5</v>
      </c>
      <c r="T21" s="456">
        <v>8.5</v>
      </c>
      <c r="U21" s="202"/>
      <c r="V21" s="202"/>
      <c r="W21" s="202"/>
      <c r="X21" s="202"/>
      <c r="Y21" s="202"/>
      <c r="Z21" s="202"/>
      <c r="AA21" s="202"/>
      <c r="AB21" s="202"/>
      <c r="AC21" s="202"/>
      <c r="AD21" s="202"/>
      <c r="AE21" s="202"/>
      <c r="AF21" s="202"/>
      <c r="AG21" s="202"/>
      <c r="AH21" s="202"/>
      <c r="AI21" s="202"/>
      <c r="AJ21" s="202"/>
      <c r="AK21" s="202"/>
      <c r="AL21" s="202"/>
      <c r="AM21" s="202"/>
    </row>
    <row r="22" spans="1:39" ht="16">
      <c r="A22" s="454" t="s">
        <v>491</v>
      </c>
      <c r="B22" s="446" t="s">
        <v>491</v>
      </c>
      <c r="C22" s="413" t="s">
        <v>510</v>
      </c>
      <c r="D22" s="446" t="s">
        <v>497</v>
      </c>
      <c r="E22" s="445">
        <v>8</v>
      </c>
      <c r="F22" s="444" t="s">
        <v>494</v>
      </c>
      <c r="G22" s="445">
        <v>2</v>
      </c>
      <c r="H22" s="445">
        <v>2.5</v>
      </c>
      <c r="I22" s="445">
        <v>6.5</v>
      </c>
      <c r="J22" s="445">
        <v>8.5</v>
      </c>
      <c r="K22" s="445">
        <v>5</v>
      </c>
      <c r="L22" s="445">
        <v>8</v>
      </c>
      <c r="M22" s="445">
        <v>6.5</v>
      </c>
      <c r="N22" s="445">
        <v>1.5</v>
      </c>
      <c r="O22" s="445">
        <v>3.5</v>
      </c>
      <c r="P22" s="445">
        <v>8</v>
      </c>
      <c r="Q22" s="445">
        <v>9</v>
      </c>
      <c r="R22" s="445">
        <v>8.5</v>
      </c>
      <c r="S22" s="445">
        <v>8</v>
      </c>
      <c r="T22" s="456">
        <v>7.5</v>
      </c>
      <c r="U22" s="202"/>
      <c r="V22" s="202"/>
      <c r="W22" s="202"/>
      <c r="X22" s="202"/>
      <c r="Y22" s="202"/>
      <c r="Z22" s="202"/>
      <c r="AA22" s="202"/>
      <c r="AB22" s="202"/>
      <c r="AC22" s="202"/>
      <c r="AD22" s="202"/>
      <c r="AE22" s="202"/>
      <c r="AF22" s="202"/>
      <c r="AG22" s="202"/>
      <c r="AH22" s="202"/>
      <c r="AI22" s="202"/>
      <c r="AJ22" s="202"/>
      <c r="AK22" s="202"/>
      <c r="AL22" s="202"/>
      <c r="AM22" s="202"/>
    </row>
    <row r="23" spans="1:39" ht="16">
      <c r="A23" s="454" t="s">
        <v>491</v>
      </c>
      <c r="B23" s="446" t="s">
        <v>495</v>
      </c>
      <c r="C23" s="413" t="s">
        <v>511</v>
      </c>
      <c r="D23" s="446" t="s">
        <v>497</v>
      </c>
      <c r="E23" s="445">
        <v>8</v>
      </c>
      <c r="F23" s="445">
        <v>2</v>
      </c>
      <c r="G23" s="445">
        <v>3</v>
      </c>
      <c r="H23" s="445">
        <v>2.5</v>
      </c>
      <c r="I23" s="445">
        <v>6</v>
      </c>
      <c r="J23" s="445">
        <v>7.5</v>
      </c>
      <c r="K23" s="445">
        <v>5.5</v>
      </c>
      <c r="L23" s="445">
        <v>7.5</v>
      </c>
      <c r="M23" s="445">
        <v>6</v>
      </c>
      <c r="N23" s="445">
        <v>1.5</v>
      </c>
      <c r="O23" s="445">
        <v>3.5</v>
      </c>
      <c r="P23" s="445">
        <v>8</v>
      </c>
      <c r="Q23" s="445">
        <v>9</v>
      </c>
      <c r="R23" s="445">
        <v>8</v>
      </c>
      <c r="S23" s="445">
        <v>7.5</v>
      </c>
      <c r="T23" s="456">
        <v>7.5</v>
      </c>
      <c r="U23" s="202"/>
      <c r="V23" s="202"/>
      <c r="W23" s="202"/>
      <c r="X23" s="202"/>
      <c r="Y23" s="202"/>
      <c r="Z23" s="202"/>
      <c r="AA23" s="202"/>
      <c r="AB23" s="202"/>
      <c r="AC23" s="202"/>
      <c r="AD23" s="202"/>
      <c r="AE23" s="202"/>
      <c r="AF23" s="202"/>
      <c r="AG23" s="202"/>
      <c r="AH23" s="202"/>
      <c r="AI23" s="202"/>
      <c r="AJ23" s="202"/>
      <c r="AK23" s="202"/>
      <c r="AL23" s="202"/>
      <c r="AM23" s="202"/>
    </row>
    <row r="24" spans="1:39" ht="16">
      <c r="A24" s="454" t="s">
        <v>491</v>
      </c>
      <c r="B24" s="447" t="s">
        <v>490</v>
      </c>
      <c r="C24" s="413" t="s">
        <v>512</v>
      </c>
      <c r="D24" s="446" t="s">
        <v>497</v>
      </c>
      <c r="E24" s="445">
        <v>6</v>
      </c>
      <c r="F24" s="444" t="s">
        <v>494</v>
      </c>
      <c r="G24" s="444" t="s">
        <v>494</v>
      </c>
      <c r="H24" s="444" t="s">
        <v>494</v>
      </c>
      <c r="I24" s="445">
        <v>4</v>
      </c>
      <c r="J24" s="445">
        <v>6</v>
      </c>
      <c r="K24" s="445">
        <v>4</v>
      </c>
      <c r="L24" s="445">
        <v>6</v>
      </c>
      <c r="M24" s="445">
        <v>4</v>
      </c>
      <c r="N24" s="444" t="s">
        <v>494</v>
      </c>
      <c r="O24" s="445">
        <v>2.5</v>
      </c>
      <c r="P24" s="445">
        <v>7</v>
      </c>
      <c r="Q24" s="445">
        <v>7</v>
      </c>
      <c r="R24" s="445">
        <v>7</v>
      </c>
      <c r="S24" s="445">
        <v>6</v>
      </c>
      <c r="T24" s="456">
        <v>5.5</v>
      </c>
      <c r="U24" s="202"/>
      <c r="V24" s="202"/>
      <c r="W24" s="202"/>
      <c r="X24" s="202"/>
      <c r="Y24" s="202"/>
      <c r="Z24" s="202"/>
      <c r="AA24" s="202"/>
      <c r="AB24" s="202"/>
      <c r="AC24" s="202"/>
      <c r="AD24" s="202"/>
      <c r="AE24" s="202"/>
      <c r="AF24" s="202"/>
      <c r="AG24" s="202"/>
      <c r="AH24" s="202"/>
      <c r="AI24" s="202"/>
      <c r="AJ24" s="202"/>
      <c r="AK24" s="202"/>
      <c r="AL24" s="202"/>
      <c r="AM24" s="202"/>
    </row>
    <row r="25" spans="1:39" ht="16">
      <c r="A25" s="903"/>
      <c r="B25" s="904"/>
      <c r="C25" s="2565" t="s">
        <v>513</v>
      </c>
      <c r="D25" s="2566"/>
      <c r="E25" s="908"/>
      <c r="F25" s="909"/>
      <c r="G25" s="909"/>
      <c r="H25" s="909"/>
      <c r="I25" s="909"/>
      <c r="J25" s="909"/>
      <c r="K25" s="909"/>
      <c r="L25" s="909"/>
      <c r="M25" s="909"/>
      <c r="N25" s="909"/>
      <c r="O25" s="909"/>
      <c r="P25" s="909"/>
      <c r="Q25" s="909"/>
      <c r="R25" s="909"/>
      <c r="S25" s="909"/>
      <c r="T25" s="910"/>
      <c r="U25" s="202"/>
      <c r="V25" s="202"/>
      <c r="W25" s="202"/>
      <c r="X25" s="202"/>
      <c r="Y25" s="202"/>
      <c r="Z25" s="202"/>
      <c r="AA25" s="202"/>
      <c r="AB25" s="202"/>
      <c r="AC25" s="202"/>
      <c r="AD25" s="202"/>
      <c r="AE25" s="202"/>
      <c r="AF25" s="202"/>
      <c r="AG25" s="202"/>
      <c r="AH25" s="202"/>
      <c r="AI25" s="202"/>
      <c r="AJ25" s="202"/>
      <c r="AK25" s="202"/>
      <c r="AL25" s="202"/>
      <c r="AM25" s="202"/>
    </row>
    <row r="26" spans="1:39" ht="16">
      <c r="A26" s="454" t="s">
        <v>491</v>
      </c>
      <c r="B26" s="911" t="s">
        <v>493</v>
      </c>
      <c r="C26" s="413" t="s">
        <v>514</v>
      </c>
      <c r="D26" s="446" t="s">
        <v>515</v>
      </c>
      <c r="E26" s="445">
        <v>7.5</v>
      </c>
      <c r="F26" s="444" t="s">
        <v>494</v>
      </c>
      <c r="G26" s="445">
        <v>3.5</v>
      </c>
      <c r="H26" s="445">
        <v>1</v>
      </c>
      <c r="I26" s="445">
        <v>5.5</v>
      </c>
      <c r="J26" s="445">
        <v>9</v>
      </c>
      <c r="K26" s="445">
        <v>5</v>
      </c>
      <c r="L26" s="445">
        <v>8</v>
      </c>
      <c r="M26" s="445">
        <v>5</v>
      </c>
      <c r="N26" s="444" t="s">
        <v>494</v>
      </c>
      <c r="O26" s="445">
        <v>3</v>
      </c>
      <c r="P26" s="445">
        <v>9</v>
      </c>
      <c r="Q26" s="445">
        <v>9</v>
      </c>
      <c r="R26" s="445">
        <v>9.5</v>
      </c>
      <c r="S26" s="445">
        <v>9.5</v>
      </c>
      <c r="T26" s="456">
        <v>6</v>
      </c>
      <c r="U26" s="202"/>
      <c r="V26" s="202"/>
      <c r="W26" s="202"/>
      <c r="X26" s="202"/>
      <c r="Y26" s="202"/>
      <c r="Z26" s="202"/>
      <c r="AA26" s="202"/>
      <c r="AB26" s="202"/>
      <c r="AC26" s="202"/>
      <c r="AD26" s="202"/>
      <c r="AE26" s="202"/>
      <c r="AF26" s="202"/>
      <c r="AG26" s="202"/>
      <c r="AH26" s="202"/>
      <c r="AI26" s="202"/>
      <c r="AJ26" s="202"/>
      <c r="AK26" s="202"/>
      <c r="AL26" s="202"/>
      <c r="AM26" s="202"/>
    </row>
    <row r="27" spans="1:39" ht="16">
      <c r="A27" s="454" t="s">
        <v>495</v>
      </c>
      <c r="B27" s="446" t="s">
        <v>491</v>
      </c>
      <c r="C27" s="413" t="s">
        <v>516</v>
      </c>
      <c r="D27" s="446" t="s">
        <v>493</v>
      </c>
      <c r="E27" s="445">
        <v>9</v>
      </c>
      <c r="F27" s="444" t="s">
        <v>494</v>
      </c>
      <c r="G27" s="445">
        <v>4.5</v>
      </c>
      <c r="H27" s="445">
        <v>3.5</v>
      </c>
      <c r="I27" s="445">
        <v>8</v>
      </c>
      <c r="J27" s="445">
        <v>11</v>
      </c>
      <c r="K27" s="445">
        <v>7</v>
      </c>
      <c r="L27" s="445">
        <v>10</v>
      </c>
      <c r="M27" s="445">
        <v>8</v>
      </c>
      <c r="N27" s="445">
        <v>2.5</v>
      </c>
      <c r="O27" s="445">
        <v>4</v>
      </c>
      <c r="P27" s="445">
        <v>9.5</v>
      </c>
      <c r="Q27" s="445">
        <v>10.5</v>
      </c>
      <c r="R27" s="445">
        <v>10.5</v>
      </c>
      <c r="S27" s="445">
        <v>11.5</v>
      </c>
      <c r="T27" s="456">
        <v>9</v>
      </c>
      <c r="U27" s="202"/>
      <c r="V27" s="202"/>
      <c r="W27" s="202"/>
      <c r="X27" s="202"/>
      <c r="Y27" s="202"/>
      <c r="Z27" s="202"/>
      <c r="AA27" s="202"/>
      <c r="AB27" s="202"/>
      <c r="AC27" s="202"/>
      <c r="AD27" s="202"/>
      <c r="AE27" s="202"/>
      <c r="AF27" s="202"/>
      <c r="AG27" s="202"/>
      <c r="AH27" s="202"/>
      <c r="AI27" s="202"/>
      <c r="AJ27" s="202"/>
      <c r="AK27" s="202"/>
      <c r="AL27" s="202"/>
      <c r="AM27" s="202"/>
    </row>
    <row r="28" spans="1:39" ht="16">
      <c r="A28" s="454" t="s">
        <v>490</v>
      </c>
      <c r="B28" s="446" t="s">
        <v>491</v>
      </c>
      <c r="C28" s="413" t="s">
        <v>517</v>
      </c>
      <c r="D28" s="446" t="s">
        <v>497</v>
      </c>
      <c r="E28" s="445">
        <v>9</v>
      </c>
      <c r="F28" s="444" t="s">
        <v>494</v>
      </c>
      <c r="G28" s="445">
        <v>4.5</v>
      </c>
      <c r="H28" s="445">
        <v>3</v>
      </c>
      <c r="I28" s="445">
        <v>8</v>
      </c>
      <c r="J28" s="445">
        <v>10</v>
      </c>
      <c r="K28" s="445">
        <v>6.5</v>
      </c>
      <c r="L28" s="445">
        <v>9</v>
      </c>
      <c r="M28" s="445">
        <v>7.5</v>
      </c>
      <c r="N28" s="445">
        <v>2.5</v>
      </c>
      <c r="O28" s="445">
        <v>3.5</v>
      </c>
      <c r="P28" s="444" t="s">
        <v>494</v>
      </c>
      <c r="Q28" s="445">
        <v>2</v>
      </c>
      <c r="R28" s="444" t="s">
        <v>494</v>
      </c>
      <c r="S28" s="444" t="s">
        <v>494</v>
      </c>
      <c r="T28" s="455" t="s">
        <v>494</v>
      </c>
      <c r="U28" s="202"/>
      <c r="V28" s="202"/>
      <c r="W28" s="202"/>
      <c r="X28" s="202"/>
      <c r="Y28" s="202"/>
      <c r="Z28" s="202"/>
      <c r="AA28" s="202"/>
      <c r="AB28" s="202"/>
      <c r="AC28" s="202"/>
      <c r="AD28" s="202"/>
      <c r="AE28" s="202"/>
      <c r="AF28" s="202"/>
      <c r="AG28" s="202"/>
      <c r="AH28" s="202"/>
      <c r="AI28" s="202"/>
      <c r="AJ28" s="202"/>
      <c r="AK28" s="202"/>
      <c r="AL28" s="202"/>
      <c r="AM28" s="202"/>
    </row>
    <row r="29" spans="1:39" ht="16">
      <c r="A29" s="454" t="s">
        <v>491</v>
      </c>
      <c r="B29" s="446" t="s">
        <v>491</v>
      </c>
      <c r="C29" s="413" t="s">
        <v>518</v>
      </c>
      <c r="D29" s="446" t="s">
        <v>502</v>
      </c>
      <c r="E29" s="445">
        <v>9</v>
      </c>
      <c r="F29" s="444" t="s">
        <v>494</v>
      </c>
      <c r="G29" s="445">
        <v>4</v>
      </c>
      <c r="H29" s="445">
        <v>3</v>
      </c>
      <c r="I29" s="445">
        <v>8</v>
      </c>
      <c r="J29" s="445">
        <v>10</v>
      </c>
      <c r="K29" s="445">
        <v>6.5</v>
      </c>
      <c r="L29" s="445">
        <v>9</v>
      </c>
      <c r="M29" s="445">
        <v>8</v>
      </c>
      <c r="N29" s="445">
        <v>2.5</v>
      </c>
      <c r="O29" s="445">
        <v>3.5</v>
      </c>
      <c r="P29" s="445">
        <v>8.5</v>
      </c>
      <c r="Q29" s="445">
        <v>8.5</v>
      </c>
      <c r="R29" s="445">
        <v>9</v>
      </c>
      <c r="S29" s="445">
        <v>10.5</v>
      </c>
      <c r="T29" s="456">
        <v>9</v>
      </c>
      <c r="U29" s="202"/>
      <c r="V29" s="202"/>
      <c r="W29" s="202"/>
      <c r="X29" s="202"/>
      <c r="Y29" s="202"/>
      <c r="Z29" s="202"/>
      <c r="AA29" s="202"/>
      <c r="AB29" s="202"/>
      <c r="AC29" s="202"/>
      <c r="AD29" s="202"/>
      <c r="AE29" s="202"/>
      <c r="AF29" s="202"/>
      <c r="AG29" s="202"/>
      <c r="AH29" s="202"/>
      <c r="AI29" s="202"/>
      <c r="AJ29" s="202"/>
      <c r="AK29" s="202"/>
      <c r="AL29" s="202"/>
      <c r="AM29" s="202"/>
    </row>
    <row r="30" spans="1:39" ht="16">
      <c r="A30" s="454" t="s">
        <v>490</v>
      </c>
      <c r="B30" s="446" t="s">
        <v>495</v>
      </c>
      <c r="C30" s="413" t="s">
        <v>519</v>
      </c>
      <c r="D30" s="446" t="s">
        <v>515</v>
      </c>
      <c r="E30" s="445">
        <v>5.5</v>
      </c>
      <c r="F30" s="445">
        <v>1.5</v>
      </c>
      <c r="G30" s="445">
        <v>2.5</v>
      </c>
      <c r="H30" s="445">
        <v>1.5</v>
      </c>
      <c r="I30" s="444">
        <v>5</v>
      </c>
      <c r="J30" s="445">
        <v>7</v>
      </c>
      <c r="K30" s="445">
        <v>3.5</v>
      </c>
      <c r="L30" s="445">
        <v>6.5</v>
      </c>
      <c r="M30" s="445">
        <v>5</v>
      </c>
      <c r="N30" s="445">
        <v>1.5</v>
      </c>
      <c r="O30" s="445">
        <v>3</v>
      </c>
      <c r="P30" s="444" t="s">
        <v>494</v>
      </c>
      <c r="Q30" s="444" t="s">
        <v>494</v>
      </c>
      <c r="R30" s="444" t="s">
        <v>494</v>
      </c>
      <c r="S30" s="445">
        <v>7</v>
      </c>
      <c r="T30" s="455" t="s">
        <v>494</v>
      </c>
      <c r="U30" s="202"/>
      <c r="V30" s="202"/>
      <c r="W30" s="202"/>
      <c r="X30" s="202"/>
      <c r="Y30" s="202"/>
      <c r="Z30" s="202"/>
      <c r="AA30" s="202"/>
      <c r="AB30" s="202"/>
      <c r="AC30" s="202"/>
      <c r="AD30" s="202"/>
      <c r="AE30" s="202"/>
      <c r="AF30" s="202"/>
      <c r="AG30" s="202"/>
      <c r="AH30" s="202"/>
      <c r="AI30" s="202"/>
      <c r="AJ30" s="202"/>
      <c r="AK30" s="202"/>
      <c r="AL30" s="202"/>
      <c r="AM30" s="202"/>
    </row>
    <row r="31" spans="1:39" ht="16">
      <c r="A31" s="454" t="s">
        <v>490</v>
      </c>
      <c r="B31" s="446" t="s">
        <v>495</v>
      </c>
      <c r="C31" s="413" t="s">
        <v>520</v>
      </c>
      <c r="D31" s="446" t="s">
        <v>502</v>
      </c>
      <c r="E31" s="445">
        <v>5</v>
      </c>
      <c r="F31" s="445">
        <v>1.5</v>
      </c>
      <c r="G31" s="445">
        <v>2.5</v>
      </c>
      <c r="H31" s="445">
        <v>1.5</v>
      </c>
      <c r="I31" s="444">
        <v>4</v>
      </c>
      <c r="J31" s="445">
        <v>6</v>
      </c>
      <c r="K31" s="445">
        <v>3</v>
      </c>
      <c r="L31" s="445">
        <v>5</v>
      </c>
      <c r="M31" s="445">
        <v>4</v>
      </c>
      <c r="N31" s="445">
        <v>1.5</v>
      </c>
      <c r="O31" s="445">
        <v>2.5</v>
      </c>
      <c r="P31" s="444" t="s">
        <v>494</v>
      </c>
      <c r="Q31" s="444" t="s">
        <v>494</v>
      </c>
      <c r="R31" s="444" t="s">
        <v>494</v>
      </c>
      <c r="S31" s="445">
        <v>6</v>
      </c>
      <c r="T31" s="455" t="s">
        <v>494</v>
      </c>
      <c r="U31" s="202"/>
      <c r="V31" s="202"/>
      <c r="W31" s="202"/>
      <c r="X31" s="202"/>
      <c r="Y31" s="202"/>
      <c r="Z31" s="202"/>
      <c r="AA31" s="202"/>
      <c r="AB31" s="202"/>
      <c r="AC31" s="202"/>
      <c r="AD31" s="202"/>
      <c r="AE31" s="202"/>
      <c r="AF31" s="202"/>
      <c r="AG31" s="202"/>
      <c r="AH31" s="202"/>
      <c r="AI31" s="202"/>
      <c r="AJ31" s="202"/>
      <c r="AK31" s="202"/>
      <c r="AL31" s="202"/>
      <c r="AM31" s="202"/>
    </row>
    <row r="32" spans="1:39" ht="16">
      <c r="A32" s="454" t="s">
        <v>495</v>
      </c>
      <c r="B32" s="446" t="s">
        <v>491</v>
      </c>
      <c r="C32" s="413" t="s">
        <v>521</v>
      </c>
      <c r="D32" s="446" t="s">
        <v>497</v>
      </c>
      <c r="E32" s="445">
        <v>9.5</v>
      </c>
      <c r="F32" s="444" t="s">
        <v>494</v>
      </c>
      <c r="G32" s="445">
        <v>4.5</v>
      </c>
      <c r="H32" s="445">
        <v>3</v>
      </c>
      <c r="I32" s="445">
        <v>8</v>
      </c>
      <c r="J32" s="445">
        <v>11</v>
      </c>
      <c r="K32" s="445">
        <v>7</v>
      </c>
      <c r="L32" s="445">
        <v>10</v>
      </c>
      <c r="M32" s="445">
        <v>8</v>
      </c>
      <c r="N32" s="445">
        <v>2.5</v>
      </c>
      <c r="O32" s="445">
        <v>4</v>
      </c>
      <c r="P32" s="445">
        <v>12</v>
      </c>
      <c r="Q32" s="445">
        <v>11</v>
      </c>
      <c r="R32" s="445">
        <v>11.5</v>
      </c>
      <c r="S32" s="445">
        <v>11.5</v>
      </c>
      <c r="T32" s="456">
        <v>9</v>
      </c>
      <c r="U32" s="202"/>
      <c r="V32" s="202"/>
      <c r="W32" s="202"/>
      <c r="X32" s="202"/>
      <c r="Y32" s="202"/>
      <c r="Z32" s="202"/>
      <c r="AA32" s="202"/>
      <c r="AB32" s="202"/>
      <c r="AC32" s="202"/>
      <c r="AD32" s="202"/>
      <c r="AE32" s="202"/>
      <c r="AF32" s="202"/>
      <c r="AG32" s="202"/>
      <c r="AH32" s="202"/>
      <c r="AI32" s="202"/>
      <c r="AJ32" s="202"/>
      <c r="AK32" s="202"/>
      <c r="AL32" s="202"/>
      <c r="AM32" s="202"/>
    </row>
    <row r="33" spans="1:39" ht="16">
      <c r="A33" s="458" t="s">
        <v>495</v>
      </c>
      <c r="B33" s="447" t="s">
        <v>491</v>
      </c>
      <c r="C33" s="411" t="s">
        <v>522</v>
      </c>
      <c r="D33" s="447" t="s">
        <v>497</v>
      </c>
      <c r="E33" s="448">
        <v>11.5</v>
      </c>
      <c r="F33" s="449" t="s">
        <v>494</v>
      </c>
      <c r="G33" s="448">
        <v>5</v>
      </c>
      <c r="H33" s="448">
        <v>4</v>
      </c>
      <c r="I33" s="448">
        <v>9</v>
      </c>
      <c r="J33" s="448">
        <v>13</v>
      </c>
      <c r="K33" s="448">
        <v>8</v>
      </c>
      <c r="L33" s="448">
        <v>12.5</v>
      </c>
      <c r="M33" s="448">
        <v>9</v>
      </c>
      <c r="N33" s="448">
        <v>3</v>
      </c>
      <c r="O33" s="448">
        <v>4.5</v>
      </c>
      <c r="P33" s="448">
        <v>14</v>
      </c>
      <c r="Q33" s="448">
        <v>13</v>
      </c>
      <c r="R33" s="448">
        <v>14</v>
      </c>
      <c r="S33" s="448">
        <v>13.5</v>
      </c>
      <c r="T33" s="457">
        <v>10</v>
      </c>
      <c r="U33" s="202"/>
      <c r="V33" s="202"/>
      <c r="W33" s="202"/>
      <c r="X33" s="202"/>
      <c r="Y33" s="202"/>
      <c r="Z33" s="202"/>
      <c r="AA33" s="202"/>
      <c r="AB33" s="202"/>
      <c r="AC33" s="202"/>
      <c r="AD33" s="202"/>
      <c r="AE33" s="202"/>
      <c r="AF33" s="202"/>
      <c r="AG33" s="202"/>
      <c r="AH33" s="202"/>
      <c r="AI33" s="202"/>
      <c r="AJ33" s="202"/>
      <c r="AK33" s="202"/>
      <c r="AL33" s="202"/>
      <c r="AM33" s="202"/>
    </row>
    <row r="34" spans="1:39">
      <c r="A34" s="201"/>
      <c r="B34" s="202"/>
      <c r="C34" s="202"/>
      <c r="D34" s="202"/>
      <c r="E34" s="202"/>
      <c r="F34" s="202"/>
      <c r="G34" s="202"/>
      <c r="H34" s="202"/>
      <c r="I34" s="202"/>
      <c r="J34" s="202"/>
      <c r="K34" s="202"/>
      <c r="L34" s="202"/>
      <c r="M34" s="202"/>
      <c r="N34" s="202"/>
      <c r="O34" s="202"/>
      <c r="P34" s="202"/>
      <c r="Q34" s="202"/>
      <c r="R34" s="202"/>
      <c r="S34" s="202"/>
      <c r="T34" s="210"/>
      <c r="U34" s="202"/>
      <c r="V34" s="202"/>
      <c r="W34" s="202"/>
      <c r="X34" s="202"/>
      <c r="Y34" s="202"/>
      <c r="Z34" s="202"/>
      <c r="AA34" s="202"/>
      <c r="AB34" s="202"/>
      <c r="AC34" s="202"/>
      <c r="AD34" s="202"/>
      <c r="AE34" s="202"/>
      <c r="AF34" s="202"/>
      <c r="AG34" s="202"/>
      <c r="AH34" s="202"/>
      <c r="AI34" s="202"/>
      <c r="AJ34" s="202"/>
      <c r="AK34" s="202"/>
      <c r="AL34" s="202"/>
      <c r="AM34" s="202"/>
    </row>
    <row r="35" spans="1:39" ht="16" thickBot="1">
      <c r="A35" s="204"/>
      <c r="B35" s="276"/>
      <c r="C35" s="459" t="s">
        <v>523</v>
      </c>
      <c r="D35" s="276"/>
      <c r="E35" s="276"/>
      <c r="F35" s="276"/>
      <c r="G35" s="276"/>
      <c r="H35" s="276"/>
      <c r="I35" s="276"/>
      <c r="J35" s="276"/>
      <c r="K35" s="276"/>
      <c r="L35" s="276"/>
      <c r="M35" s="276"/>
      <c r="N35" s="276"/>
      <c r="O35" s="276"/>
      <c r="P35" s="276"/>
      <c r="Q35" s="276"/>
      <c r="R35" s="276"/>
      <c r="S35" s="276"/>
      <c r="T35" s="253"/>
      <c r="U35" s="202"/>
      <c r="V35" s="202"/>
      <c r="W35" s="202"/>
      <c r="X35" s="202"/>
      <c r="Y35" s="202"/>
      <c r="Z35" s="202"/>
      <c r="AA35" s="202"/>
      <c r="AB35" s="202"/>
      <c r="AC35" s="202"/>
      <c r="AD35" s="202"/>
      <c r="AE35" s="202"/>
      <c r="AF35" s="202"/>
      <c r="AG35" s="202"/>
      <c r="AH35" s="202"/>
      <c r="AI35" s="202"/>
      <c r="AJ35" s="202"/>
      <c r="AK35" s="202"/>
      <c r="AL35" s="202"/>
      <c r="AM35" s="202"/>
    </row>
    <row r="36" spans="1:39">
      <c r="A36" s="202"/>
      <c r="B36" s="202"/>
      <c r="C36" s="202"/>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202"/>
      <c r="AF36" s="202"/>
      <c r="AG36" s="202"/>
      <c r="AH36" s="202"/>
      <c r="AI36" s="202"/>
      <c r="AJ36" s="202"/>
      <c r="AK36" s="202"/>
      <c r="AL36" s="202"/>
      <c r="AM36" s="202"/>
    </row>
    <row r="37" spans="1:39">
      <c r="A37" s="202"/>
      <c r="B37" s="202"/>
      <c r="C37" s="202"/>
      <c r="D37" s="202"/>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202"/>
      <c r="AF37" s="202"/>
      <c r="AG37" s="202"/>
      <c r="AH37" s="202"/>
      <c r="AI37" s="202"/>
      <c r="AJ37" s="202"/>
      <c r="AK37" s="202"/>
      <c r="AL37" s="202"/>
      <c r="AM37" s="202"/>
    </row>
    <row r="38" spans="1:39">
      <c r="A38" s="202"/>
      <c r="B38" s="202"/>
      <c r="C38" s="202"/>
      <c r="D38" s="202"/>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202"/>
      <c r="AF38" s="202"/>
      <c r="AG38" s="202"/>
      <c r="AH38" s="202"/>
      <c r="AI38" s="202"/>
      <c r="AJ38" s="202"/>
      <c r="AK38" s="202"/>
      <c r="AL38" s="202"/>
      <c r="AM38" s="202"/>
    </row>
    <row r="39" spans="1:39">
      <c r="A39" s="202"/>
      <c r="B39" s="202"/>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202"/>
      <c r="AF39" s="202"/>
      <c r="AG39" s="202"/>
      <c r="AH39" s="202"/>
      <c r="AI39" s="202"/>
      <c r="AJ39" s="202"/>
      <c r="AK39" s="202"/>
      <c r="AL39" s="202"/>
      <c r="AM39" s="202"/>
    </row>
    <row r="40" spans="1:39">
      <c r="A40" s="202"/>
      <c r="B40" s="202"/>
      <c r="C40" s="202"/>
      <c r="D40" s="202"/>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202"/>
      <c r="AF40" s="202"/>
      <c r="AG40" s="202"/>
      <c r="AH40" s="202"/>
      <c r="AI40" s="202"/>
      <c r="AJ40" s="202"/>
      <c r="AK40" s="202"/>
      <c r="AL40" s="202"/>
      <c r="AM40" s="202"/>
    </row>
    <row r="41" spans="1:39">
      <c r="A41" s="202"/>
      <c r="B41" s="202"/>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2"/>
      <c r="AH41" s="202"/>
      <c r="AI41" s="202"/>
      <c r="AJ41" s="202"/>
      <c r="AK41" s="202"/>
      <c r="AL41" s="202"/>
      <c r="AM41" s="202"/>
    </row>
    <row r="42" spans="1:39">
      <c r="A42" s="202"/>
      <c r="B42" s="202"/>
      <c r="C42" s="202"/>
      <c r="D42" s="202"/>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202"/>
      <c r="AF42" s="202"/>
      <c r="AG42" s="202"/>
      <c r="AH42" s="202"/>
      <c r="AI42" s="202"/>
      <c r="AJ42" s="202"/>
      <c r="AK42" s="202"/>
      <c r="AL42" s="202"/>
      <c r="AM42" s="202"/>
    </row>
    <row r="43" spans="1:39">
      <c r="A43" s="202"/>
      <c r="B43" s="202"/>
      <c r="C43" s="202"/>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202"/>
      <c r="AF43" s="202"/>
      <c r="AG43" s="202"/>
      <c r="AH43" s="202"/>
      <c r="AI43" s="202"/>
      <c r="AJ43" s="202"/>
      <c r="AK43" s="202"/>
      <c r="AL43" s="202"/>
      <c r="AM43" s="202"/>
    </row>
    <row r="44" spans="1:39">
      <c r="A44" s="202"/>
      <c r="B44" s="202"/>
      <c r="C44" s="202"/>
      <c r="D44" s="202"/>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202"/>
      <c r="AF44" s="202"/>
      <c r="AG44" s="202"/>
      <c r="AH44" s="202"/>
      <c r="AI44" s="202"/>
      <c r="AJ44" s="202"/>
      <c r="AK44" s="202"/>
      <c r="AL44" s="202"/>
      <c r="AM44" s="202"/>
    </row>
    <row r="45" spans="1:39">
      <c r="A45" s="202"/>
      <c r="B45" s="202"/>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2"/>
      <c r="AH45" s="202"/>
      <c r="AI45" s="202"/>
      <c r="AJ45" s="202"/>
      <c r="AK45" s="202"/>
      <c r="AL45" s="202"/>
      <c r="AM45" s="202"/>
    </row>
    <row r="46" spans="1:39">
      <c r="A46" s="202"/>
      <c r="B46" s="202"/>
      <c r="C46" s="202"/>
      <c r="D46" s="202"/>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202"/>
      <c r="AF46" s="202"/>
      <c r="AG46" s="202"/>
      <c r="AH46" s="202"/>
      <c r="AI46" s="202"/>
      <c r="AJ46" s="202"/>
      <c r="AK46" s="202"/>
      <c r="AL46" s="202"/>
      <c r="AM46" s="202"/>
    </row>
    <row r="47" spans="1:39">
      <c r="A47" s="202"/>
      <c r="B47" s="202"/>
      <c r="C47" s="202"/>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202"/>
      <c r="AF47" s="202"/>
      <c r="AG47" s="202"/>
      <c r="AH47" s="202"/>
      <c r="AI47" s="202"/>
      <c r="AJ47" s="202"/>
      <c r="AK47" s="202"/>
      <c r="AL47" s="202"/>
      <c r="AM47" s="202"/>
    </row>
    <row r="48" spans="1:39">
      <c r="A48" s="202"/>
      <c r="B48" s="202"/>
      <c r="C48" s="202"/>
      <c r="D48" s="202"/>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202"/>
      <c r="AF48" s="202"/>
      <c r="AG48" s="202"/>
      <c r="AH48" s="202"/>
      <c r="AI48" s="202"/>
      <c r="AJ48" s="202"/>
      <c r="AK48" s="202"/>
      <c r="AL48" s="202"/>
      <c r="AM48" s="202"/>
    </row>
    <row r="49" spans="1:39">
      <c r="A49" s="202"/>
      <c r="B49" s="202"/>
      <c r="C49" s="202"/>
      <c r="D49" s="202"/>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202"/>
      <c r="AF49" s="202"/>
      <c r="AG49" s="202"/>
      <c r="AH49" s="202"/>
      <c r="AI49" s="202"/>
      <c r="AJ49" s="202"/>
      <c r="AK49" s="202"/>
      <c r="AL49" s="202"/>
      <c r="AM49" s="202"/>
    </row>
    <row r="50" spans="1:39">
      <c r="A50" s="202"/>
      <c r="B50" s="202"/>
      <c r="C50" s="202"/>
      <c r="D50" s="202"/>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202"/>
      <c r="AF50" s="202"/>
      <c r="AG50" s="202"/>
      <c r="AH50" s="202"/>
      <c r="AI50" s="202"/>
      <c r="AJ50" s="202"/>
      <c r="AK50" s="202"/>
      <c r="AL50" s="202"/>
      <c r="AM50" s="202"/>
    </row>
    <row r="51" spans="1:39">
      <c r="A51" s="202"/>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2"/>
      <c r="AH51" s="202"/>
      <c r="AI51" s="202"/>
      <c r="AJ51" s="202"/>
      <c r="AK51" s="202"/>
      <c r="AL51" s="202"/>
      <c r="AM51" s="202"/>
    </row>
    <row r="52" spans="1:39">
      <c r="A52" s="202"/>
      <c r="B52" s="202"/>
      <c r="C52" s="202"/>
      <c r="D52" s="202"/>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202"/>
      <c r="AF52" s="202"/>
      <c r="AG52" s="202"/>
      <c r="AH52" s="202"/>
      <c r="AI52" s="202"/>
      <c r="AJ52" s="202"/>
      <c r="AK52" s="202"/>
      <c r="AL52" s="202"/>
      <c r="AM52" s="202"/>
    </row>
    <row r="53" spans="1:39">
      <c r="A53" s="202"/>
      <c r="B53" s="202"/>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row>
    <row r="54" spans="1:39">
      <c r="A54" s="202"/>
      <c r="B54" s="202"/>
      <c r="C54" s="202"/>
      <c r="D54" s="202"/>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202"/>
      <c r="AF54" s="202"/>
      <c r="AG54" s="202"/>
      <c r="AH54" s="202"/>
      <c r="AI54" s="202"/>
      <c r="AJ54" s="202"/>
      <c r="AK54" s="202"/>
      <c r="AL54" s="202"/>
      <c r="AM54" s="202"/>
    </row>
    <row r="55" spans="1:39">
      <c r="A55" s="202"/>
      <c r="B55" s="202"/>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202"/>
      <c r="AF55" s="202"/>
      <c r="AG55" s="202"/>
      <c r="AH55" s="202"/>
      <c r="AI55" s="202"/>
      <c r="AJ55" s="202"/>
      <c r="AK55" s="202"/>
      <c r="AL55" s="202"/>
      <c r="AM55" s="202"/>
    </row>
    <row r="56" spans="1:39">
      <c r="A56" s="202"/>
      <c r="B56" s="202"/>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202"/>
      <c r="AF56" s="202"/>
      <c r="AG56" s="202"/>
      <c r="AH56" s="202"/>
      <c r="AI56" s="202"/>
      <c r="AJ56" s="202"/>
      <c r="AK56" s="202"/>
      <c r="AL56" s="202"/>
      <c r="AM56" s="202"/>
    </row>
    <row r="57" spans="1:39">
      <c r="A57" s="202"/>
      <c r="B57" s="202"/>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202"/>
      <c r="AF57" s="202"/>
      <c r="AG57" s="202"/>
      <c r="AH57" s="202"/>
      <c r="AI57" s="202"/>
      <c r="AJ57" s="202"/>
      <c r="AK57" s="202"/>
      <c r="AL57" s="202"/>
      <c r="AM57" s="202"/>
    </row>
    <row r="58" spans="1:39">
      <c r="A58" s="202"/>
      <c r="B58" s="202"/>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row>
    <row r="59" spans="1:39">
      <c r="A59" s="202"/>
      <c r="B59" s="202"/>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2"/>
      <c r="AL59" s="202"/>
      <c r="AM59" s="202"/>
    </row>
    <row r="60" spans="1:39">
      <c r="A60" s="202"/>
      <c r="B60" s="202"/>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202"/>
      <c r="AF60" s="202"/>
      <c r="AG60" s="202"/>
      <c r="AH60" s="202"/>
      <c r="AI60" s="202"/>
      <c r="AJ60" s="202"/>
      <c r="AK60" s="202"/>
      <c r="AL60" s="202"/>
      <c r="AM60" s="202"/>
    </row>
    <row r="61" spans="1:39">
      <c r="A61" s="202"/>
      <c r="B61" s="202"/>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2"/>
      <c r="AL61" s="202"/>
      <c r="AM61" s="202"/>
    </row>
    <row r="62" spans="1:39">
      <c r="A62" s="202"/>
      <c r="B62" s="202"/>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202"/>
      <c r="AF62" s="202"/>
      <c r="AG62" s="202"/>
      <c r="AH62" s="202"/>
      <c r="AI62" s="202"/>
      <c r="AJ62" s="202"/>
      <c r="AK62" s="202"/>
      <c r="AL62" s="202"/>
      <c r="AM62" s="202"/>
    </row>
    <row r="63" spans="1:39">
      <c r="A63" s="202"/>
      <c r="B63" s="202"/>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2"/>
      <c r="AL63" s="202"/>
      <c r="AM63" s="202"/>
    </row>
    <row r="64" spans="1:39">
      <c r="A64" s="202"/>
      <c r="B64" s="202"/>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202"/>
      <c r="AF64" s="202"/>
      <c r="AG64" s="202"/>
      <c r="AH64" s="202"/>
      <c r="AI64" s="202"/>
      <c r="AJ64" s="202"/>
      <c r="AK64" s="202"/>
      <c r="AL64" s="202"/>
      <c r="AM64" s="202"/>
    </row>
    <row r="65" spans="1:39">
      <c r="A65" s="202"/>
      <c r="B65" s="202"/>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row>
    <row r="66" spans="1:39">
      <c r="A66" s="202"/>
      <c r="B66" s="202"/>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202"/>
      <c r="AF66" s="202"/>
      <c r="AG66" s="202"/>
      <c r="AH66" s="202"/>
      <c r="AI66" s="202"/>
      <c r="AJ66" s="202"/>
      <c r="AK66" s="202"/>
      <c r="AL66" s="202"/>
      <c r="AM66" s="202"/>
    </row>
    <row r="67" spans="1:39">
      <c r="A67" s="202"/>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02"/>
      <c r="AL67" s="202"/>
      <c r="AM67" s="202"/>
    </row>
    <row r="68" spans="1:39">
      <c r="A68" s="202"/>
      <c r="B68" s="202"/>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202"/>
      <c r="AF68" s="202"/>
      <c r="AG68" s="202"/>
      <c r="AH68" s="202"/>
      <c r="AI68" s="202"/>
      <c r="AJ68" s="202"/>
      <c r="AK68" s="202"/>
      <c r="AL68" s="202"/>
      <c r="AM68" s="202"/>
    </row>
    <row r="69" spans="1:39">
      <c r="A69" s="202"/>
      <c r="B69" s="202"/>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02"/>
      <c r="AL69" s="202"/>
      <c r="AM69" s="202"/>
    </row>
    <row r="70" spans="1:39">
      <c r="A70" s="202"/>
      <c r="B70" s="202"/>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202"/>
      <c r="AF70" s="202"/>
      <c r="AG70" s="202"/>
      <c r="AH70" s="202"/>
      <c r="AI70" s="202"/>
      <c r="AJ70" s="202"/>
      <c r="AK70" s="202"/>
      <c r="AL70" s="202"/>
      <c r="AM70" s="202"/>
    </row>
    <row r="71" spans="1:39">
      <c r="A71" s="202"/>
      <c r="B71" s="202"/>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202"/>
      <c r="AF71" s="202"/>
      <c r="AG71" s="202"/>
      <c r="AH71" s="202"/>
      <c r="AI71" s="202"/>
      <c r="AJ71" s="202"/>
      <c r="AK71" s="202"/>
      <c r="AL71" s="202"/>
      <c r="AM71" s="202"/>
    </row>
    <row r="72" spans="1:39">
      <c r="A72" s="202"/>
      <c r="B72" s="202"/>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202"/>
      <c r="AF72" s="202"/>
      <c r="AG72" s="202"/>
      <c r="AH72" s="202"/>
      <c r="AI72" s="202"/>
      <c r="AJ72" s="202"/>
      <c r="AK72" s="202"/>
      <c r="AL72" s="202"/>
      <c r="AM72" s="202"/>
    </row>
    <row r="73" spans="1:39">
      <c r="A73" s="202"/>
      <c r="B73" s="202"/>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row>
    <row r="74" spans="1:39">
      <c r="A74" s="202"/>
      <c r="B74" s="202"/>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202"/>
      <c r="AF74" s="202"/>
      <c r="AG74" s="202"/>
      <c r="AH74" s="202"/>
      <c r="AI74" s="202"/>
      <c r="AJ74" s="202"/>
      <c r="AK74" s="202"/>
      <c r="AL74" s="202"/>
      <c r="AM74" s="202"/>
    </row>
    <row r="75" spans="1:39">
      <c r="A75" s="202"/>
      <c r="B75" s="202"/>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202"/>
      <c r="AF75" s="202"/>
      <c r="AG75" s="202"/>
      <c r="AH75" s="202"/>
      <c r="AI75" s="202"/>
      <c r="AJ75" s="202"/>
      <c r="AK75" s="202"/>
      <c r="AL75" s="202"/>
      <c r="AM75" s="202"/>
    </row>
    <row r="76" spans="1:39">
      <c r="A76" s="202"/>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202"/>
      <c r="AF76" s="202"/>
      <c r="AG76" s="202"/>
      <c r="AH76" s="202"/>
      <c r="AI76" s="202"/>
      <c r="AJ76" s="202"/>
      <c r="AK76" s="202"/>
      <c r="AL76" s="202"/>
      <c r="AM76" s="202"/>
    </row>
    <row r="77" spans="1:39">
      <c r="A77" s="202"/>
      <c r="B77" s="202"/>
      <c r="C77" s="202"/>
      <c r="D77" s="202"/>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202"/>
      <c r="AF77" s="202"/>
      <c r="AG77" s="202"/>
      <c r="AH77" s="202"/>
      <c r="AI77" s="202"/>
      <c r="AJ77" s="202"/>
      <c r="AK77" s="202"/>
      <c r="AL77" s="202"/>
      <c r="AM77" s="202"/>
    </row>
    <row r="78" spans="1:39">
      <c r="A78" s="202"/>
      <c r="B78" s="202"/>
      <c r="C78" s="202"/>
      <c r="D78" s="202"/>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202"/>
      <c r="AF78" s="202"/>
      <c r="AG78" s="202"/>
      <c r="AH78" s="202"/>
      <c r="AI78" s="202"/>
      <c r="AJ78" s="202"/>
      <c r="AK78" s="202"/>
      <c r="AL78" s="202"/>
      <c r="AM78" s="202"/>
    </row>
    <row r="79" spans="1:39">
      <c r="A79" s="202"/>
      <c r="B79" s="202"/>
      <c r="C79" s="202"/>
      <c r="D79" s="202"/>
      <c r="E79" s="202"/>
      <c r="F79" s="202"/>
      <c r="G79" s="202"/>
      <c r="H79" s="202"/>
      <c r="I79" s="202"/>
      <c r="J79" s="202"/>
      <c r="K79" s="202"/>
      <c r="L79" s="202"/>
      <c r="M79" s="202"/>
      <c r="N79" s="202"/>
      <c r="O79" s="202"/>
      <c r="P79" s="202"/>
      <c r="Q79" s="202"/>
      <c r="R79" s="202"/>
      <c r="S79" s="202"/>
      <c r="T79" s="202"/>
    </row>
  </sheetData>
  <mergeCells count="4">
    <mergeCell ref="C6:T6"/>
    <mergeCell ref="C8:D8"/>
    <mergeCell ref="C16:D16"/>
    <mergeCell ref="C25:D25"/>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190E-C944-4A2F-990F-64281B05FAB9}">
  <sheetPr codeName="Sheet4">
    <pageSetUpPr fitToPage="1"/>
  </sheetPr>
  <dimension ref="A1:S53"/>
  <sheetViews>
    <sheetView workbookViewId="0"/>
  </sheetViews>
  <sheetFormatPr baseColWidth="10" defaultColWidth="8.83203125" defaultRowHeight="14"/>
  <cols>
    <col min="1" max="1" width="25.83203125" customWidth="1"/>
    <col min="7" max="8" width="10.1640625" customWidth="1"/>
    <col min="15" max="15" width="27" customWidth="1"/>
  </cols>
  <sheetData>
    <row r="1" spans="1:19" ht="16">
      <c r="A1" s="15" t="s">
        <v>616</v>
      </c>
      <c r="E1" s="791" t="s">
        <v>665</v>
      </c>
    </row>
    <row r="2" spans="1:19" ht="15.75" customHeight="1">
      <c r="A2" s="2567">
        <f>Name</f>
        <v>0</v>
      </c>
      <c r="B2" s="2567"/>
      <c r="C2" s="2567"/>
      <c r="E2" s="2587">
        <f>Notes</f>
        <v>0</v>
      </c>
      <c r="F2" s="2588"/>
      <c r="G2" s="2588"/>
      <c r="H2" s="2588"/>
      <c r="I2" s="2588"/>
      <c r="J2" s="2589"/>
    </row>
    <row r="3" spans="1:19" ht="15.75" customHeight="1">
      <c r="A3" s="4">
        <f>ID</f>
        <v>0</v>
      </c>
      <c r="E3" s="2590"/>
      <c r="F3" s="2591"/>
      <c r="G3" s="2591"/>
      <c r="H3" s="2591"/>
      <c r="I3" s="2591"/>
      <c r="J3" s="2592"/>
    </row>
    <row r="4" spans="1:19" ht="15.75" customHeight="1">
      <c r="A4" s="4">
        <f>Date</f>
        <v>0</v>
      </c>
      <c r="E4" s="2590"/>
      <c r="F4" s="2591"/>
      <c r="G4" s="2591"/>
      <c r="H4" s="2591"/>
      <c r="I4" s="2591"/>
      <c r="J4" s="2592"/>
    </row>
    <row r="5" spans="1:19" ht="15.75" customHeight="1">
      <c r="A5" s="4"/>
      <c r="E5" s="2590"/>
      <c r="F5" s="2591"/>
      <c r="G5" s="2591"/>
      <c r="H5" s="2591"/>
      <c r="I5" s="2591"/>
      <c r="J5" s="2592"/>
    </row>
    <row r="6" spans="1:19" ht="15.75" customHeight="1">
      <c r="E6" s="2593"/>
      <c r="F6" s="2594"/>
      <c r="G6" s="2594"/>
      <c r="H6" s="2594"/>
      <c r="I6" s="2594"/>
      <c r="J6" s="2595"/>
    </row>
    <row r="7" spans="1:19" ht="15.75" customHeight="1" thickBot="1"/>
    <row r="8" spans="1:19" ht="15">
      <c r="A8" s="2577" t="s">
        <v>220</v>
      </c>
      <c r="B8" s="553" t="s">
        <v>30</v>
      </c>
      <c r="C8" s="553" t="s">
        <v>123</v>
      </c>
      <c r="D8" s="553" t="s">
        <v>31</v>
      </c>
      <c r="E8" s="2579" t="s">
        <v>114</v>
      </c>
      <c r="F8" s="2581" t="s">
        <v>113</v>
      </c>
      <c r="G8" s="2583" t="s">
        <v>569</v>
      </c>
      <c r="H8" s="2584"/>
      <c r="I8" s="2571" t="s">
        <v>618</v>
      </c>
      <c r="J8" s="2572"/>
      <c r="K8" s="2572"/>
      <c r="L8" s="2573"/>
      <c r="M8" s="549"/>
      <c r="N8" s="36"/>
      <c r="O8" s="36"/>
      <c r="P8" s="550"/>
      <c r="Q8" s="549"/>
      <c r="R8" s="550"/>
      <c r="S8" s="36"/>
    </row>
    <row r="9" spans="1:19" ht="15">
      <c r="A9" s="2578"/>
      <c r="B9" s="552" t="s">
        <v>36</v>
      </c>
      <c r="C9" s="552" t="s">
        <v>118</v>
      </c>
      <c r="D9" s="552" t="s">
        <v>37</v>
      </c>
      <c r="E9" s="2580"/>
      <c r="F9" s="2582"/>
      <c r="G9" s="2585"/>
      <c r="H9" s="2586"/>
      <c r="I9" s="2574" t="s">
        <v>617</v>
      </c>
      <c r="J9" s="2575"/>
      <c r="K9" s="2575"/>
      <c r="L9" s="2576"/>
      <c r="M9" s="549"/>
      <c r="N9" s="548"/>
      <c r="O9" s="549"/>
      <c r="P9" s="550"/>
      <c r="Q9" s="549"/>
      <c r="R9" s="550"/>
      <c r="S9" s="549"/>
    </row>
    <row r="10" spans="1:19" ht="15" hidden="1">
      <c r="A10" s="564" t="str">
        <f>'Step 3. FA Balance'!H15</f>
        <v>Cow/Calf Pairs Herd 1</v>
      </c>
      <c r="B10" s="554">
        <f>'Step 3. FA Balance'!I15</f>
        <v>0</v>
      </c>
      <c r="C10" s="567">
        <f>'Step 3. FA Balance'!J15</f>
        <v>0</v>
      </c>
      <c r="D10" s="895">
        <f>'Step 3. FA Balance'!K15</f>
        <v>0</v>
      </c>
      <c r="E10" s="882">
        <f>'Step 3. FA Balance'!L15</f>
        <v>0</v>
      </c>
      <c r="F10" s="554">
        <f>'Step 3. FA Balance'!M15</f>
        <v>0</v>
      </c>
      <c r="G10" s="572" t="str">
        <f>IF(CC1Past=TRUE,"Grazing System Year Round",IF(CC1AltPast=TRUE,"Alternative Pasture Utilized",IF(CC1DryLot=TRUE,"Dry Lot Utilized")))</f>
        <v>Grazing System Year Round</v>
      </c>
      <c r="H10" s="570"/>
      <c r="I10" s="556" t="str">
        <f>'Step 3. FA Balance'!J16</f>
        <v/>
      </c>
      <c r="J10" s="555" t="str">
        <f>'Step 3. FA Balance'!K16</f>
        <v/>
      </c>
      <c r="K10" s="555"/>
      <c r="L10" s="557"/>
    </row>
    <row r="11" spans="1:19" ht="15" hidden="1">
      <c r="A11" s="565" t="str">
        <f>'Step 3. FA Balance'!H17</f>
        <v>Cow/Calf Pairs Herd 2</v>
      </c>
      <c r="B11" s="554">
        <f>'Step 3. FA Balance'!I17</f>
        <v>0</v>
      </c>
      <c r="C11" s="568">
        <f>'Step 3. FA Balance'!J17</f>
        <v>0</v>
      </c>
      <c r="D11" s="895">
        <f>'Step 3. FA Balance'!K17</f>
        <v>0</v>
      </c>
      <c r="E11" s="883">
        <f>'Step 3. FA Balance'!L17</f>
        <v>0</v>
      </c>
      <c r="F11" s="554">
        <f>'Step 3. FA Balance'!M17</f>
        <v>0</v>
      </c>
      <c r="G11" s="573" t="str">
        <f>IF(CC2Past=TRUE,"Grazing System Year Round",IF(CC2AltPast=TRUE,"Alternative Pasture Utilized",IF(CC2DryLot=TRUE,"Dry Lot Utilized")))</f>
        <v>Grazing System Year Round</v>
      </c>
      <c r="H11" s="571"/>
      <c r="I11" s="556" t="str">
        <f>'Step 3. FA Balance'!J18</f>
        <v/>
      </c>
      <c r="J11" s="555" t="str">
        <f>'Step 3. FA Balance'!K18</f>
        <v/>
      </c>
      <c r="K11" s="555"/>
      <c r="L11" s="557"/>
    </row>
    <row r="12" spans="1:19" ht="15" hidden="1">
      <c r="A12" s="565" t="str">
        <f>'Step 3. FA Balance'!H19</f>
        <v>Cow/Calf Pairs Herd 3</v>
      </c>
      <c r="B12" s="554">
        <f>'Step 3. FA Balance'!I19</f>
        <v>0</v>
      </c>
      <c r="C12" s="568">
        <f>'Step 3. FA Balance'!J19</f>
        <v>0</v>
      </c>
      <c r="D12" s="895">
        <f>'Step 3. FA Balance'!K19</f>
        <v>0</v>
      </c>
      <c r="E12" s="883">
        <f>'Step 3. FA Balance'!L19</f>
        <v>0</v>
      </c>
      <c r="F12" s="554">
        <f>'Step 3. FA Balance'!M19</f>
        <v>0</v>
      </c>
      <c r="G12" s="573" t="str">
        <f>IF(CC3Past=TRUE,"Grazing System Year Round",IF(CC3AltPast=TRUE,"Alternative Pasture Utilized",IF(CC3DryLot=TRUE,"Dry Lot Utilized")))</f>
        <v>Grazing System Year Round</v>
      </c>
      <c r="H12" s="571"/>
      <c r="I12" s="556" t="str">
        <f>'Step 3. FA Balance'!J20</f>
        <v/>
      </c>
      <c r="J12" s="555" t="str">
        <f>'Step 3. FA Balance'!K20</f>
        <v/>
      </c>
      <c r="K12" s="555"/>
      <c r="L12" s="557"/>
    </row>
    <row r="13" spans="1:19" ht="15" hidden="1">
      <c r="A13" s="565" t="str">
        <f>'Step 3. FA Balance'!H21</f>
        <v>Stockers Herd 1</v>
      </c>
      <c r="B13" s="554">
        <f>'Step 3. FA Balance'!I21</f>
        <v>0</v>
      </c>
      <c r="C13" s="568" t="b">
        <f>'Step 3. FA Balance'!J21</f>
        <v>0</v>
      </c>
      <c r="D13" s="895">
        <f>'Step 3. FA Balance'!K21</f>
        <v>0</v>
      </c>
      <c r="E13" s="883">
        <f>'Step 3. FA Balance'!L21</f>
        <v>0</v>
      </c>
      <c r="F13" s="554">
        <f>'Step 3. FA Balance'!M21</f>
        <v>0</v>
      </c>
      <c r="G13" s="573"/>
      <c r="H13" s="571"/>
      <c r="I13" s="556"/>
      <c r="J13" s="555"/>
      <c r="K13" s="555"/>
      <c r="L13" s="557"/>
    </row>
    <row r="14" spans="1:19" ht="15" hidden="1">
      <c r="A14" s="565" t="str">
        <f>'Step 3. FA Balance'!H23</f>
        <v>Stockers Herd 2</v>
      </c>
      <c r="B14" s="554">
        <f>'Step 3. FA Balance'!I23</f>
        <v>0</v>
      </c>
      <c r="C14" s="568" t="b">
        <f>'Step 3. FA Balance'!J23</f>
        <v>0</v>
      </c>
      <c r="D14" s="895">
        <f>'Step 3. FA Balance'!K23</f>
        <v>0</v>
      </c>
      <c r="E14" s="883">
        <f>'Step 3. FA Balance'!L23</f>
        <v>0</v>
      </c>
      <c r="F14" s="554">
        <f>'Step 3. FA Balance'!M23</f>
        <v>0</v>
      </c>
      <c r="G14" s="574"/>
      <c r="H14" s="571"/>
      <c r="I14" s="556"/>
      <c r="J14" s="555"/>
      <c r="K14" s="555"/>
      <c r="L14" s="557"/>
    </row>
    <row r="15" spans="1:19" ht="15" hidden="1">
      <c r="A15" s="565" t="str">
        <f>'Step 3. FA Balance'!H25</f>
        <v>Dairy, Seasonal</v>
      </c>
      <c r="B15" s="554">
        <f>'Step 3. FA Balance'!I25</f>
        <v>0</v>
      </c>
      <c r="C15" s="568">
        <f>'Step 3. FA Balance'!J25</f>
        <v>0</v>
      </c>
      <c r="D15" s="559"/>
      <c r="E15" s="569"/>
      <c r="F15" s="554">
        <f>'Step 3. FA Balance'!M25</f>
        <v>0</v>
      </c>
      <c r="G15" s="573" t="str">
        <f>IF(SeasonalDairyPast=TRUE,"Grazing System Year Round",IF(SeasonalDairyAltPast=TRUE,"Alternative Pasture Utilized",IF(SeasonalDairyDryLot=TRUE,"Dry Lot Utilized")))</f>
        <v>Grazing System Year Round</v>
      </c>
      <c r="H15" s="571"/>
      <c r="I15" s="556" t="str">
        <f>'Step 3. FA Balance'!J28</f>
        <v/>
      </c>
      <c r="J15" s="555" t="str">
        <f>'Step 3. FA Balance'!K28</f>
        <v/>
      </c>
      <c r="K15" s="555"/>
      <c r="L15" s="557"/>
    </row>
    <row r="16" spans="1:19" ht="15" hidden="1">
      <c r="A16" s="566" t="str">
        <f>'Step 3. FA Balance'!H26</f>
        <v>Intake Rate Lactating Months</v>
      </c>
      <c r="B16" s="559"/>
      <c r="C16" s="569"/>
      <c r="D16" s="895">
        <f>'Step 3. FA Balance'!K26</f>
        <v>0</v>
      </c>
      <c r="E16" s="883">
        <f>'Step 3. FA Balance'!L26</f>
        <v>0</v>
      </c>
      <c r="F16" s="559"/>
      <c r="G16" s="573"/>
      <c r="H16" s="571"/>
      <c r="I16" s="556"/>
      <c r="J16" s="555"/>
      <c r="K16" s="555"/>
      <c r="L16" s="557"/>
    </row>
    <row r="17" spans="1:13" ht="15" hidden="1">
      <c r="A17" s="566" t="str">
        <f>'Step 3. FA Balance'!H27</f>
        <v>Intake Rate Dry Months</v>
      </c>
      <c r="B17" s="559"/>
      <c r="C17" s="569"/>
      <c r="D17" s="895">
        <f>'Step 3. FA Balance'!K27</f>
        <v>0</v>
      </c>
      <c r="E17" s="883">
        <f>'Step 3. FA Balance'!L27</f>
        <v>0</v>
      </c>
      <c r="F17" s="559"/>
      <c r="G17" s="574"/>
      <c r="H17" s="571"/>
      <c r="I17" s="556"/>
      <c r="J17" s="555"/>
      <c r="K17" s="555"/>
      <c r="L17" s="557"/>
    </row>
    <row r="18" spans="1:13" ht="15" hidden="1">
      <c r="A18" s="565" t="str">
        <f>'Step 3. FA Balance'!H29</f>
        <v>Lactating Dairy Herd</v>
      </c>
      <c r="B18" s="554">
        <f>'Step 3. FA Balance'!I29</f>
        <v>0</v>
      </c>
      <c r="C18" s="568">
        <f>'Step 3. FA Balance'!J29</f>
        <v>0</v>
      </c>
      <c r="D18" s="895">
        <f>'Step 3. FA Balance'!K29</f>
        <v>0</v>
      </c>
      <c r="E18" s="883">
        <f>'Step 3. FA Balance'!L29</f>
        <v>0</v>
      </c>
      <c r="F18" s="554">
        <f>'Step 3. FA Balance'!M29</f>
        <v>0</v>
      </c>
      <c r="G18" s="573" t="str">
        <f>IF(LactatingDairyPast=TRUE,"Grazing System Year Round",IF(LactatingDairyAltPast=TRUE,"Alternative Pasture Utilized",IF(LactatingDairyDryLot=TRUE,"Dry Lot Utilized")))</f>
        <v>Grazing System Year Round</v>
      </c>
      <c r="H18" s="571"/>
      <c r="I18" s="556" t="str">
        <f>'Step 3. FA Balance'!J30</f>
        <v/>
      </c>
      <c r="J18" s="555" t="str">
        <f>'Step 3. FA Balance'!K30</f>
        <v/>
      </c>
      <c r="K18" s="555"/>
      <c r="L18" s="557"/>
    </row>
    <row r="19" spans="1:13" ht="15" hidden="1">
      <c r="A19" s="565" t="str">
        <f>'Step 3. FA Balance'!H31</f>
        <v xml:space="preserve">Dry Dairy Herd </v>
      </c>
      <c r="B19" s="554">
        <f>'Step 3. FA Balance'!I31</f>
        <v>0</v>
      </c>
      <c r="C19" s="568">
        <f>'Step 3. FA Balance'!J31</f>
        <v>0</v>
      </c>
      <c r="D19" s="895">
        <f>'Step 3. FA Balance'!K31</f>
        <v>0</v>
      </c>
      <c r="E19" s="883">
        <f>'Step 3. FA Balance'!L31</f>
        <v>0</v>
      </c>
      <c r="F19" s="554">
        <f>'Step 3. FA Balance'!M31</f>
        <v>0</v>
      </c>
      <c r="G19" s="573" t="b">
        <f>IF(DryDairyPast=TRUE,"Alternative Pasture Utilized",IF(DryDairyDryLot=TRUE,"Dry Lot Utilized"))</f>
        <v>0</v>
      </c>
      <c r="H19" s="571"/>
      <c r="I19" s="556"/>
      <c r="J19" s="555"/>
      <c r="K19" s="555"/>
      <c r="L19" s="557"/>
    </row>
    <row r="20" spans="1:13" ht="15" hidden="1">
      <c r="A20" s="565" t="str">
        <f>'Step 3. FA Balance'!H33</f>
        <v>Bulls</v>
      </c>
      <c r="B20" s="554">
        <f>'Step 3. FA Balance'!I33</f>
        <v>0</v>
      </c>
      <c r="C20" s="568">
        <f>'Step 3. FA Balance'!J33</f>
        <v>0</v>
      </c>
      <c r="D20" s="895">
        <f>'Step 3. FA Balance'!K33</f>
        <v>0</v>
      </c>
      <c r="E20" s="883">
        <f>'Step 3. FA Balance'!L33</f>
        <v>0</v>
      </c>
      <c r="F20" s="554">
        <f>'Step 3. FA Balance'!M33</f>
        <v>0</v>
      </c>
      <c r="G20" s="573" t="str">
        <f>IF(BullsPast=TRUE,"Grazing System Year Round",IF(OR(BullsAltPast1=TRUE,BullsAltPast2=TRUE),"Alternative Pasture Utilized",IF(OR(BullsDryLot1=TRUE,BullsDryLot2=TRUE),"Dry Lot Utilized")))</f>
        <v>Alternative Pasture Utilized</v>
      </c>
      <c r="H20" s="571"/>
      <c r="I20" s="556" t="str">
        <f>'Step 3. FA Balance'!J34</f>
        <v>May -</v>
      </c>
      <c r="J20" s="555" t="str">
        <f>'Step 3. FA Balance'!K34</f>
        <v>Feb</v>
      </c>
      <c r="K20" s="556" t="str">
        <f>'Step 3. FA Balance'!M34</f>
        <v/>
      </c>
      <c r="L20" s="557" t="str">
        <f>'Step 3. FA Balance'!N34</f>
        <v/>
      </c>
    </row>
    <row r="21" spans="1:13" ht="15" hidden="1">
      <c r="A21" s="565" t="str">
        <f>'Step 3. FA Balance'!H35</f>
        <v>Horses</v>
      </c>
      <c r="B21" s="554">
        <f>'Step 3. FA Balance'!I35</f>
        <v>0</v>
      </c>
      <c r="C21" s="568">
        <f>'Step 3. FA Balance'!J35</f>
        <v>0</v>
      </c>
      <c r="D21" s="895">
        <f>'Step 3. FA Balance'!K35</f>
        <v>0</v>
      </c>
      <c r="E21" s="883">
        <f>'Step 3. FA Balance'!L35</f>
        <v>0</v>
      </c>
      <c r="F21" s="554">
        <f>'Step 3. FA Balance'!M35</f>
        <v>0</v>
      </c>
      <c r="G21" s="573" t="str">
        <f>IF(HorsesPast=TRUE,"Grazing System Year Round",IF(HorsesAltPast=TRUE,"Alternative Pasture Utilized",IF(HorsesDryLot=TRUE,"Dry Lot Utilized")))</f>
        <v>Grazing System Year Round</v>
      </c>
      <c r="H21" s="571"/>
      <c r="I21" s="556" t="str">
        <f>'Step 3. FA Balance'!J36</f>
        <v/>
      </c>
      <c r="J21" s="555" t="str">
        <f>'Step 3. FA Balance'!K36</f>
        <v/>
      </c>
      <c r="K21" s="555"/>
      <c r="L21" s="557"/>
    </row>
    <row r="22" spans="1:13" ht="15" hidden="1">
      <c r="A22" s="565" t="str">
        <f>'Step 3. FA Balance'!H37</f>
        <v>Sheep</v>
      </c>
      <c r="B22" s="554">
        <f>'Step 3. FA Balance'!I37</f>
        <v>0</v>
      </c>
      <c r="C22" s="568">
        <f>'Step 3. FA Balance'!J37</f>
        <v>0</v>
      </c>
      <c r="D22" s="895">
        <f>'Step 3. FA Balance'!K37</f>
        <v>0</v>
      </c>
      <c r="E22" s="883">
        <f>'Step 3. FA Balance'!L37</f>
        <v>0</v>
      </c>
      <c r="F22" s="554">
        <f>'Step 3. FA Balance'!M37</f>
        <v>0</v>
      </c>
      <c r="G22" s="574"/>
      <c r="H22" s="571"/>
      <c r="I22" s="555"/>
      <c r="J22" s="555"/>
      <c r="K22" s="555"/>
      <c r="L22" s="557"/>
    </row>
    <row r="23" spans="1:13" ht="15" hidden="1">
      <c r="A23" s="565" t="str">
        <f>'Step 3. FA Balance'!H39</f>
        <v>Goats</v>
      </c>
      <c r="B23" s="554">
        <f>'Step 3. FA Balance'!I39</f>
        <v>0</v>
      </c>
      <c r="C23" s="568">
        <f>'Step 3. FA Balance'!J39</f>
        <v>0</v>
      </c>
      <c r="D23" s="895">
        <f>'Step 3. FA Balance'!K39</f>
        <v>0</v>
      </c>
      <c r="E23" s="883">
        <f>'Step 3. FA Balance'!L39</f>
        <v>0</v>
      </c>
      <c r="F23" s="554">
        <f>'Step 3. FA Balance'!M39</f>
        <v>0</v>
      </c>
      <c r="G23" s="574"/>
      <c r="H23" s="571"/>
      <c r="I23" s="555"/>
      <c r="J23" s="555"/>
      <c r="K23" s="555"/>
      <c r="L23" s="557"/>
    </row>
    <row r="24" spans="1:13" ht="16">
      <c r="A24" s="790"/>
      <c r="B24" s="581"/>
      <c r="C24" s="582"/>
      <c r="D24" s="581"/>
      <c r="E24" s="582"/>
      <c r="F24" s="581"/>
      <c r="G24" s="583"/>
      <c r="H24" s="584"/>
      <c r="I24" s="585"/>
      <c r="J24" s="585"/>
      <c r="K24" s="585"/>
      <c r="L24" s="586"/>
    </row>
    <row r="25" spans="1:13" ht="16" thickBot="1">
      <c r="A25" s="575" t="s">
        <v>285</v>
      </c>
      <c r="B25" s="576">
        <f>'Step 3. FA Balance'!I41</f>
        <v>0</v>
      </c>
      <c r="C25" s="577"/>
      <c r="D25" s="576"/>
      <c r="E25" s="577">
        <f>'Step 3. FA Balance'!L41</f>
        <v>0</v>
      </c>
      <c r="F25" s="576">
        <f>'Step 3. FA Balance'!M41</f>
        <v>0</v>
      </c>
      <c r="G25" s="578"/>
      <c r="H25" s="579"/>
      <c r="I25" s="580"/>
      <c r="J25" s="580"/>
      <c r="K25" s="580"/>
      <c r="L25" s="558"/>
    </row>
    <row r="26" spans="1:13" ht="15" thickBot="1"/>
    <row r="27" spans="1:13" ht="15">
      <c r="A27" s="561"/>
      <c r="B27" s="2568" t="s">
        <v>274</v>
      </c>
      <c r="C27" s="2569"/>
      <c r="D27" s="2569"/>
      <c r="E27" s="2569"/>
      <c r="F27" s="2569"/>
      <c r="G27" s="2569"/>
      <c r="H27" s="2569"/>
      <c r="I27" s="2569"/>
      <c r="J27" s="2569"/>
      <c r="K27" s="2569"/>
      <c r="L27" s="2569"/>
      <c r="M27" s="2570"/>
    </row>
    <row r="28" spans="1:13" ht="15">
      <c r="A28" s="562" t="s">
        <v>220</v>
      </c>
      <c r="B28" s="560" t="s">
        <v>276</v>
      </c>
      <c r="C28" s="560" t="s">
        <v>277</v>
      </c>
      <c r="D28" s="560" t="s">
        <v>88</v>
      </c>
      <c r="E28" s="560" t="s">
        <v>89</v>
      </c>
      <c r="F28" s="560" t="s">
        <v>39</v>
      </c>
      <c r="G28" s="560" t="s">
        <v>90</v>
      </c>
      <c r="H28" s="560" t="s">
        <v>91</v>
      </c>
      <c r="I28" s="560" t="s">
        <v>92</v>
      </c>
      <c r="J28" s="560" t="s">
        <v>93</v>
      </c>
      <c r="K28" s="560" t="s">
        <v>94</v>
      </c>
      <c r="L28" s="560" t="s">
        <v>95</v>
      </c>
      <c r="M28" s="560" t="s">
        <v>96</v>
      </c>
    </row>
    <row r="29" spans="1:13" ht="15" hidden="1">
      <c r="A29" s="563" t="str">
        <f t="shared" ref="A29:A34" si="0">A10</f>
        <v>Cow/Calf Pairs Herd 1</v>
      </c>
      <c r="B29" s="606">
        <f>'Step 3. FA Balance'!N15</f>
        <v>0</v>
      </c>
      <c r="C29" s="587">
        <f>'Step 3. FA Balance'!O15</f>
        <v>0</v>
      </c>
      <c r="D29" s="606">
        <f>'Step 3. FA Balance'!P15</f>
        <v>0</v>
      </c>
      <c r="E29" s="587">
        <f>'Step 3. FA Balance'!Q15</f>
        <v>0</v>
      </c>
      <c r="F29" s="606">
        <f>'Step 3. FA Balance'!R15</f>
        <v>0</v>
      </c>
      <c r="G29" s="587">
        <f>'Step 3. FA Balance'!S15</f>
        <v>0</v>
      </c>
      <c r="H29" s="606">
        <f>'Step 3. FA Balance'!T15</f>
        <v>0</v>
      </c>
      <c r="I29" s="587">
        <f>'Step 3. FA Balance'!U15</f>
        <v>0</v>
      </c>
      <c r="J29" s="606">
        <f>'Step 3. FA Balance'!V15</f>
        <v>0</v>
      </c>
      <c r="K29" s="587">
        <f>'Step 3. FA Balance'!W15</f>
        <v>0</v>
      </c>
      <c r="L29" s="606">
        <f>'Step 3. FA Balance'!X15</f>
        <v>0</v>
      </c>
      <c r="M29" s="588">
        <f>'Step 3. FA Balance'!Y15</f>
        <v>0</v>
      </c>
    </row>
    <row r="30" spans="1:13" ht="15" hidden="1">
      <c r="A30" s="563" t="str">
        <f t="shared" si="0"/>
        <v>Cow/Calf Pairs Herd 2</v>
      </c>
      <c r="B30" s="607">
        <f>'Step 3. FA Balance'!N17</f>
        <v>0</v>
      </c>
      <c r="C30" s="587">
        <f>'Step 3. FA Balance'!O17</f>
        <v>0</v>
      </c>
      <c r="D30" s="607">
        <f>'Step 3. FA Balance'!P17</f>
        <v>0</v>
      </c>
      <c r="E30" s="587">
        <f>'Step 3. FA Balance'!Q17</f>
        <v>0</v>
      </c>
      <c r="F30" s="607">
        <f>'Step 3. FA Balance'!R17</f>
        <v>0</v>
      </c>
      <c r="G30" s="587">
        <f>'Step 3. FA Balance'!S17</f>
        <v>0</v>
      </c>
      <c r="H30" s="607">
        <f>'Step 3. FA Balance'!T17</f>
        <v>0</v>
      </c>
      <c r="I30" s="587">
        <f>'Step 3. FA Balance'!U17</f>
        <v>0</v>
      </c>
      <c r="J30" s="607">
        <f>'Step 3. FA Balance'!V17</f>
        <v>0</v>
      </c>
      <c r="K30" s="587">
        <f>'Step 3. FA Balance'!W17</f>
        <v>0</v>
      </c>
      <c r="L30" s="607">
        <f>'Step 3. FA Balance'!X17</f>
        <v>0</v>
      </c>
      <c r="M30" s="588">
        <f>'Step 3. FA Balance'!Y17</f>
        <v>0</v>
      </c>
    </row>
    <row r="31" spans="1:13" ht="15" hidden="1">
      <c r="A31" s="563" t="str">
        <f t="shared" si="0"/>
        <v>Cow/Calf Pairs Herd 3</v>
      </c>
      <c r="B31" s="607">
        <f>'Step 3. FA Balance'!N19</f>
        <v>0</v>
      </c>
      <c r="C31" s="587">
        <f>'Step 3. FA Balance'!O19</f>
        <v>0</v>
      </c>
      <c r="D31" s="607">
        <f>'Step 3. FA Balance'!P19</f>
        <v>0</v>
      </c>
      <c r="E31" s="587">
        <f>'Step 3. FA Balance'!Q19</f>
        <v>0</v>
      </c>
      <c r="F31" s="607">
        <f>'Step 3. FA Balance'!R19</f>
        <v>0</v>
      </c>
      <c r="G31" s="587">
        <f>'Step 3. FA Balance'!S19</f>
        <v>0</v>
      </c>
      <c r="H31" s="607">
        <f>'Step 3. FA Balance'!T19</f>
        <v>0</v>
      </c>
      <c r="I31" s="587">
        <f>'Step 3. FA Balance'!U19</f>
        <v>0</v>
      </c>
      <c r="J31" s="607">
        <f>'Step 3. FA Balance'!V19</f>
        <v>0</v>
      </c>
      <c r="K31" s="587">
        <f>'Step 3. FA Balance'!W19</f>
        <v>0</v>
      </c>
      <c r="L31" s="607">
        <f>'Step 3. FA Balance'!X19</f>
        <v>0</v>
      </c>
      <c r="M31" s="588">
        <f>'Step 3. FA Balance'!Y19</f>
        <v>0</v>
      </c>
    </row>
    <row r="32" spans="1:13" ht="15" hidden="1">
      <c r="A32" s="563" t="str">
        <f t="shared" si="0"/>
        <v>Stockers Herd 1</v>
      </c>
      <c r="B32" s="607">
        <f>'Step 3. FA Balance'!Q21</f>
        <v>0</v>
      </c>
      <c r="C32" s="587">
        <f>'Step 3. FA Balance'!R21</f>
        <v>0</v>
      </c>
      <c r="D32" s="607">
        <f>'Step 3. FA Balance'!S21</f>
        <v>0</v>
      </c>
      <c r="E32" s="587">
        <f>'Step 3. FA Balance'!T21</f>
        <v>0</v>
      </c>
      <c r="F32" s="607">
        <f>'Step 3. FA Balance'!U21</f>
        <v>0</v>
      </c>
      <c r="G32" s="587">
        <f>'Step 3. FA Balance'!V21</f>
        <v>0</v>
      </c>
      <c r="H32" s="607">
        <f>'Step 3. FA Balance'!W21</f>
        <v>0</v>
      </c>
      <c r="I32" s="587">
        <f>'Step 3. FA Balance'!X21</f>
        <v>0</v>
      </c>
      <c r="J32" s="607">
        <f>'Step 3. FA Balance'!Y21</f>
        <v>0</v>
      </c>
      <c r="K32" s="587">
        <f>'Step 3. FA Balance'!N21</f>
        <v>0</v>
      </c>
      <c r="L32" s="607">
        <f>'Step 3. FA Balance'!O21</f>
        <v>0</v>
      </c>
      <c r="M32" s="588">
        <f>'Step 3. FA Balance'!P21</f>
        <v>0</v>
      </c>
    </row>
    <row r="33" spans="1:13" ht="15" hidden="1">
      <c r="A33" s="563" t="str">
        <f t="shared" si="0"/>
        <v>Stockers Herd 2</v>
      </c>
      <c r="B33" s="607">
        <f>'Step 3. FA Balance'!Q23</f>
        <v>0</v>
      </c>
      <c r="C33" s="587">
        <f>'Step 3. FA Balance'!R23</f>
        <v>0</v>
      </c>
      <c r="D33" s="607">
        <f>'Step 3. FA Balance'!S23</f>
        <v>0</v>
      </c>
      <c r="E33" s="587">
        <f>'Step 3. FA Balance'!T23</f>
        <v>0</v>
      </c>
      <c r="F33" s="607">
        <f>'Step 3. FA Balance'!U23</f>
        <v>0</v>
      </c>
      <c r="G33" s="587">
        <f>'Step 3. FA Balance'!V23</f>
        <v>0</v>
      </c>
      <c r="H33" s="607">
        <f>'Step 3. FA Balance'!W23</f>
        <v>0</v>
      </c>
      <c r="I33" s="587">
        <f>'Step 3. FA Balance'!X23</f>
        <v>0</v>
      </c>
      <c r="J33" s="607">
        <f>'Step 3. FA Balance'!Y23</f>
        <v>0</v>
      </c>
      <c r="K33" s="587">
        <f>'Step 3. FA Balance'!N23</f>
        <v>0</v>
      </c>
      <c r="L33" s="607">
        <f>'Step 3. FA Balance'!O23</f>
        <v>0</v>
      </c>
      <c r="M33" s="588">
        <f>'Step 3. FA Balance'!P23</f>
        <v>0</v>
      </c>
    </row>
    <row r="34" spans="1:13" ht="15" hidden="1">
      <c r="A34" s="563" t="str">
        <f t="shared" si="0"/>
        <v>Dairy, Seasonal</v>
      </c>
      <c r="B34" s="607">
        <f>'Step 3. FA Balance'!Q25</f>
        <v>0</v>
      </c>
      <c r="C34" s="587">
        <f>'Step 3. FA Balance'!R25</f>
        <v>0</v>
      </c>
      <c r="D34" s="607">
        <f>'Step 3. FA Balance'!S25</f>
        <v>0</v>
      </c>
      <c r="E34" s="587">
        <f>'Step 3. FA Balance'!T25</f>
        <v>0</v>
      </c>
      <c r="F34" s="607">
        <f>'Step 3. FA Balance'!U25</f>
        <v>0</v>
      </c>
      <c r="G34" s="587">
        <f>'Step 3. FA Balance'!V25</f>
        <v>0</v>
      </c>
      <c r="H34" s="607">
        <f>'Step 3. FA Balance'!W25</f>
        <v>0</v>
      </c>
      <c r="I34" s="587">
        <f>'Step 3. FA Balance'!X25</f>
        <v>0</v>
      </c>
      <c r="J34" s="607">
        <f>'Step 3. FA Balance'!Y25</f>
        <v>0</v>
      </c>
      <c r="K34" s="587">
        <f>'Step 3. FA Balance'!N25</f>
        <v>0</v>
      </c>
      <c r="L34" s="607">
        <f>'Step 3. FA Balance'!O25</f>
        <v>0</v>
      </c>
      <c r="M34" s="588">
        <f>'Step 3. FA Balance'!P25</f>
        <v>0</v>
      </c>
    </row>
    <row r="35" spans="1:13" ht="15" hidden="1">
      <c r="A35" s="563" t="str">
        <f t="shared" ref="A35:A40" si="1">A18</f>
        <v>Lactating Dairy Herd</v>
      </c>
      <c r="B35" s="607">
        <f>'Step 3. FA Balance'!N29</f>
        <v>0</v>
      </c>
      <c r="C35" s="587">
        <f>'Step 3. FA Balance'!O29</f>
        <v>0</v>
      </c>
      <c r="D35" s="607">
        <f>'Step 3. FA Balance'!P29</f>
        <v>0</v>
      </c>
      <c r="E35" s="587">
        <f>'Step 3. FA Balance'!Q29</f>
        <v>0</v>
      </c>
      <c r="F35" s="607">
        <f>'Step 3. FA Balance'!R29</f>
        <v>0</v>
      </c>
      <c r="G35" s="587">
        <f>'Step 3. FA Balance'!S29</f>
        <v>0</v>
      </c>
      <c r="H35" s="607">
        <f>'Step 3. FA Balance'!T29</f>
        <v>0</v>
      </c>
      <c r="I35" s="587">
        <f>'Step 3. FA Balance'!U29</f>
        <v>0</v>
      </c>
      <c r="J35" s="607">
        <f>'Step 3. FA Balance'!V29</f>
        <v>0</v>
      </c>
      <c r="K35" s="587">
        <f>'Step 3. FA Balance'!W29</f>
        <v>0</v>
      </c>
      <c r="L35" s="607">
        <f>'Step 3. FA Balance'!X29</f>
        <v>0</v>
      </c>
      <c r="M35" s="588">
        <f>'Step 3. FA Balance'!Y29</f>
        <v>0</v>
      </c>
    </row>
    <row r="36" spans="1:13" ht="15" hidden="1">
      <c r="A36" s="563" t="str">
        <f t="shared" si="1"/>
        <v xml:space="preserve">Dry Dairy Herd </v>
      </c>
      <c r="B36" s="607">
        <f>'Step 3. FA Balance'!N31</f>
        <v>0</v>
      </c>
      <c r="C36" s="587">
        <f>'Step 3. FA Balance'!O31</f>
        <v>0</v>
      </c>
      <c r="D36" s="607">
        <f>'Step 3. FA Balance'!P31</f>
        <v>0</v>
      </c>
      <c r="E36" s="587">
        <f>'Step 3. FA Balance'!Q31</f>
        <v>0</v>
      </c>
      <c r="F36" s="607">
        <f>'Step 3. FA Balance'!R31</f>
        <v>0</v>
      </c>
      <c r="G36" s="587">
        <f>'Step 3. FA Balance'!S31</f>
        <v>0</v>
      </c>
      <c r="H36" s="607">
        <f>'Step 3. FA Balance'!T31</f>
        <v>0</v>
      </c>
      <c r="I36" s="587">
        <f>'Step 3. FA Balance'!U31</f>
        <v>0</v>
      </c>
      <c r="J36" s="607">
        <f>'Step 3. FA Balance'!V31</f>
        <v>0</v>
      </c>
      <c r="K36" s="587">
        <f>'Step 3. FA Balance'!W31</f>
        <v>0</v>
      </c>
      <c r="L36" s="607">
        <f>'Step 3. FA Balance'!X31</f>
        <v>0</v>
      </c>
      <c r="M36" s="588">
        <f>'Step 3. FA Balance'!Y31</f>
        <v>0</v>
      </c>
    </row>
    <row r="37" spans="1:13" ht="15" hidden="1">
      <c r="A37" s="563" t="str">
        <f t="shared" si="1"/>
        <v>Bulls</v>
      </c>
      <c r="B37" s="607">
        <f>'Step 3. FA Balance'!N33</f>
        <v>0</v>
      </c>
      <c r="C37" s="587">
        <f>'Step 3. FA Balance'!O33</f>
        <v>0</v>
      </c>
      <c r="D37" s="607">
        <f>'Step 3. FA Balance'!P33</f>
        <v>0</v>
      </c>
      <c r="E37" s="587">
        <f>'Step 3. FA Balance'!Q33</f>
        <v>0</v>
      </c>
      <c r="F37" s="607">
        <f>'Step 3. FA Balance'!R33</f>
        <v>0</v>
      </c>
      <c r="G37" s="587">
        <f>'Step 3. FA Balance'!S33</f>
        <v>0</v>
      </c>
      <c r="H37" s="607">
        <f>'Step 3. FA Balance'!T33</f>
        <v>0</v>
      </c>
      <c r="I37" s="587">
        <f>'Step 3. FA Balance'!U33</f>
        <v>0</v>
      </c>
      <c r="J37" s="607">
        <f>'Step 3. FA Balance'!V33</f>
        <v>0</v>
      </c>
      <c r="K37" s="587">
        <f>'Step 3. FA Balance'!W33</f>
        <v>0</v>
      </c>
      <c r="L37" s="607">
        <f>'Step 3. FA Balance'!X33</f>
        <v>0</v>
      </c>
      <c r="M37" s="588">
        <f>'Step 3. FA Balance'!Y33</f>
        <v>0</v>
      </c>
    </row>
    <row r="38" spans="1:13" ht="15" hidden="1">
      <c r="A38" s="563" t="str">
        <f t="shared" si="1"/>
        <v>Horses</v>
      </c>
      <c r="B38" s="607">
        <f>'Step 3. FA Balance'!N35</f>
        <v>0</v>
      </c>
      <c r="C38" s="587">
        <f>'Step 3. FA Balance'!O35</f>
        <v>0</v>
      </c>
      <c r="D38" s="607">
        <f>'Step 3. FA Balance'!P35</f>
        <v>0</v>
      </c>
      <c r="E38" s="587">
        <f>'Step 3. FA Balance'!Q35</f>
        <v>0</v>
      </c>
      <c r="F38" s="607">
        <f>'Step 3. FA Balance'!R35</f>
        <v>0</v>
      </c>
      <c r="G38" s="587">
        <f>'Step 3. FA Balance'!S35</f>
        <v>0</v>
      </c>
      <c r="H38" s="607">
        <f>'Step 3. FA Balance'!T35</f>
        <v>0</v>
      </c>
      <c r="I38" s="587">
        <f>'Step 3. FA Balance'!U35</f>
        <v>0</v>
      </c>
      <c r="J38" s="607">
        <f>'Step 3. FA Balance'!V35</f>
        <v>0</v>
      </c>
      <c r="K38" s="587">
        <f>'Step 3. FA Balance'!W35</f>
        <v>0</v>
      </c>
      <c r="L38" s="607">
        <f>'Step 3. FA Balance'!X35</f>
        <v>0</v>
      </c>
      <c r="M38" s="588">
        <f>'Step 3. FA Balance'!Y35</f>
        <v>0</v>
      </c>
    </row>
    <row r="39" spans="1:13" ht="15" hidden="1">
      <c r="A39" s="563" t="str">
        <f t="shared" si="1"/>
        <v>Sheep</v>
      </c>
      <c r="B39" s="607">
        <f>'Step 3. FA Balance'!N37</f>
        <v>0</v>
      </c>
      <c r="C39" s="587">
        <f>'Step 3. FA Balance'!O37</f>
        <v>0</v>
      </c>
      <c r="D39" s="607">
        <f>'Step 3. FA Balance'!P37</f>
        <v>0</v>
      </c>
      <c r="E39" s="587">
        <f>'Step 3. FA Balance'!Q37</f>
        <v>0</v>
      </c>
      <c r="F39" s="607">
        <f>'Step 3. FA Balance'!R37</f>
        <v>0</v>
      </c>
      <c r="G39" s="587">
        <f>'Step 3. FA Balance'!S37</f>
        <v>0</v>
      </c>
      <c r="H39" s="607">
        <f>'Step 3. FA Balance'!T37</f>
        <v>0</v>
      </c>
      <c r="I39" s="587">
        <f>'Step 3. FA Balance'!U37</f>
        <v>0</v>
      </c>
      <c r="J39" s="607">
        <f>'Step 3. FA Balance'!V37</f>
        <v>0</v>
      </c>
      <c r="K39" s="587">
        <f>'Step 3. FA Balance'!W37</f>
        <v>0</v>
      </c>
      <c r="L39" s="607">
        <f>'Step 3. FA Balance'!X37</f>
        <v>0</v>
      </c>
      <c r="M39" s="588">
        <f>'Step 3. FA Balance'!Y37</f>
        <v>0</v>
      </c>
    </row>
    <row r="40" spans="1:13" ht="15" hidden="1">
      <c r="A40" s="563" t="str">
        <f t="shared" si="1"/>
        <v>Goats</v>
      </c>
      <c r="B40" s="607">
        <f>'Step 3. FA Balance'!N39</f>
        <v>0</v>
      </c>
      <c r="C40" s="587">
        <f>'Step 3. FA Balance'!O39</f>
        <v>0</v>
      </c>
      <c r="D40" s="607">
        <f>'Step 3. FA Balance'!P39</f>
        <v>0</v>
      </c>
      <c r="E40" s="587">
        <f>'Step 3. FA Balance'!Q39</f>
        <v>0</v>
      </c>
      <c r="F40" s="607">
        <f>'Step 3. FA Balance'!R39</f>
        <v>0</v>
      </c>
      <c r="G40" s="587">
        <f>'Step 3. FA Balance'!S39</f>
        <v>0</v>
      </c>
      <c r="H40" s="607">
        <f>'Step 3. FA Balance'!T39</f>
        <v>0</v>
      </c>
      <c r="I40" s="587">
        <f>'Step 3. FA Balance'!U39</f>
        <v>0</v>
      </c>
      <c r="J40" s="607">
        <f>'Step 3. FA Balance'!V39</f>
        <v>0</v>
      </c>
      <c r="K40" s="587">
        <f>'Step 3. FA Balance'!W39</f>
        <v>0</v>
      </c>
      <c r="L40" s="607">
        <f>'Step 3. FA Balance'!X39</f>
        <v>0</v>
      </c>
      <c r="M40" s="588">
        <f>'Step 3. FA Balance'!Y39</f>
        <v>0</v>
      </c>
    </row>
    <row r="41" spans="1:13" ht="15">
      <c r="A41" s="595"/>
      <c r="B41" s="608"/>
      <c r="C41" s="596"/>
      <c r="D41" s="608"/>
      <c r="E41" s="596"/>
      <c r="F41" s="608"/>
      <c r="G41" s="596"/>
      <c r="H41" s="608"/>
      <c r="I41" s="596"/>
      <c r="J41" s="608"/>
      <c r="K41" s="596"/>
      <c r="L41" s="608"/>
      <c r="M41" s="597"/>
    </row>
    <row r="42" spans="1:13" ht="15">
      <c r="A42" s="589" t="s">
        <v>291</v>
      </c>
      <c r="B42" s="609">
        <f>'Step 3. FA Balance'!N41</f>
        <v>0</v>
      </c>
      <c r="C42" s="590">
        <f>'Step 3. FA Balance'!O41</f>
        <v>0</v>
      </c>
      <c r="D42" s="609">
        <f>'Step 3. FA Balance'!P41</f>
        <v>0</v>
      </c>
      <c r="E42" s="590">
        <f>'Step 3. FA Balance'!Q41</f>
        <v>0</v>
      </c>
      <c r="F42" s="609">
        <f>'Step 3. FA Balance'!R41</f>
        <v>0</v>
      </c>
      <c r="G42" s="590">
        <f>'Step 3. FA Balance'!S41</f>
        <v>0</v>
      </c>
      <c r="H42" s="609">
        <f>'Step 3. FA Balance'!T41</f>
        <v>0</v>
      </c>
      <c r="I42" s="590">
        <f>'Step 3. FA Balance'!U41</f>
        <v>0</v>
      </c>
      <c r="J42" s="609">
        <f>'Step 3. FA Balance'!V41</f>
        <v>0</v>
      </c>
      <c r="K42" s="590">
        <f>'Step 3. FA Balance'!W41</f>
        <v>0</v>
      </c>
      <c r="L42" s="609">
        <f>'Step 3. FA Balance'!X41</f>
        <v>0</v>
      </c>
      <c r="M42" s="591">
        <f>'Step 3. FA Balance'!Y41</f>
        <v>0</v>
      </c>
    </row>
    <row r="43" spans="1:13" ht="15">
      <c r="A43" s="563"/>
      <c r="B43" s="607"/>
      <c r="C43" s="587"/>
      <c r="D43" s="607"/>
      <c r="E43" s="587"/>
      <c r="F43" s="607"/>
      <c r="G43" s="587"/>
      <c r="H43" s="607"/>
      <c r="I43" s="587"/>
      <c r="J43" s="607"/>
      <c r="K43" s="587"/>
      <c r="L43" s="607"/>
      <c r="M43" s="588"/>
    </row>
    <row r="44" spans="1:13" ht="15">
      <c r="A44" s="589" t="s">
        <v>619</v>
      </c>
      <c r="B44" s="609">
        <f>'Step 3. FA Balance'!N91</f>
        <v>0</v>
      </c>
      <c r="C44" s="590">
        <f>'Step 3. FA Balance'!O91</f>
        <v>0</v>
      </c>
      <c r="D44" s="609">
        <f>'Step 3. FA Balance'!P91</f>
        <v>0</v>
      </c>
      <c r="E44" s="590">
        <f>'Step 3. FA Balance'!Q91</f>
        <v>0</v>
      </c>
      <c r="F44" s="609">
        <f>'Step 3. FA Balance'!R91</f>
        <v>0</v>
      </c>
      <c r="G44" s="590">
        <f>'Step 3. FA Balance'!S91</f>
        <v>0</v>
      </c>
      <c r="H44" s="609">
        <f>'Step 3. FA Balance'!T91</f>
        <v>0</v>
      </c>
      <c r="I44" s="590">
        <f>'Step 3. FA Balance'!U91</f>
        <v>0</v>
      </c>
      <c r="J44" s="609">
        <f>'Step 3. FA Balance'!V91</f>
        <v>0</v>
      </c>
      <c r="K44" s="590">
        <f>'Step 3. FA Balance'!W91</f>
        <v>0</v>
      </c>
      <c r="L44" s="609">
        <f>'Step 3. FA Balance'!X91</f>
        <v>0</v>
      </c>
      <c r="M44" s="591">
        <f>'Step 3. FA Balance'!Y91</f>
        <v>0</v>
      </c>
    </row>
    <row r="45" spans="1:13" ht="15">
      <c r="A45" s="589" t="s">
        <v>620</v>
      </c>
      <c r="B45" s="609">
        <f>'Step 3. FA Balance'!N92</f>
        <v>0</v>
      </c>
      <c r="C45" s="590">
        <f>'Step 3. FA Balance'!O92</f>
        <v>0</v>
      </c>
      <c r="D45" s="609">
        <f>'Step 3. FA Balance'!P92</f>
        <v>0</v>
      </c>
      <c r="E45" s="590">
        <f>'Step 3. FA Balance'!Q92</f>
        <v>0</v>
      </c>
      <c r="F45" s="609">
        <f>'Step 3. FA Balance'!R92</f>
        <v>0</v>
      </c>
      <c r="G45" s="590">
        <f>'Step 3. FA Balance'!S92</f>
        <v>0</v>
      </c>
      <c r="H45" s="609">
        <f>'Step 3. FA Balance'!T92</f>
        <v>0</v>
      </c>
      <c r="I45" s="590">
        <f>'Step 3. FA Balance'!U92</f>
        <v>0</v>
      </c>
      <c r="J45" s="609">
        <f>'Step 3. FA Balance'!V92</f>
        <v>0</v>
      </c>
      <c r="K45" s="590">
        <f>'Step 3. FA Balance'!W92</f>
        <v>0</v>
      </c>
      <c r="L45" s="609">
        <f>'Step 3. FA Balance'!X92</f>
        <v>0</v>
      </c>
      <c r="M45" s="591">
        <f>'Step 3. FA Balance'!Y92</f>
        <v>0</v>
      </c>
    </row>
    <row r="46" spans="1:13" ht="16" thickBot="1">
      <c r="A46" s="592" t="s">
        <v>621</v>
      </c>
      <c r="B46" s="610">
        <f>'Step 3. FA Balance'!N93</f>
        <v>0</v>
      </c>
      <c r="C46" s="593">
        <f>'Step 3. FA Balance'!O93</f>
        <v>0</v>
      </c>
      <c r="D46" s="610">
        <f>'Step 3. FA Balance'!P93</f>
        <v>0</v>
      </c>
      <c r="E46" s="593">
        <f>'Step 3. FA Balance'!Q93</f>
        <v>0</v>
      </c>
      <c r="F46" s="610">
        <f>'Step 3. FA Balance'!R93</f>
        <v>0</v>
      </c>
      <c r="G46" s="593">
        <f>'Step 3. FA Balance'!S93</f>
        <v>0</v>
      </c>
      <c r="H46" s="610">
        <f>'Step 3. FA Balance'!T93</f>
        <v>0</v>
      </c>
      <c r="I46" s="593">
        <f>'Step 3. FA Balance'!U93</f>
        <v>0</v>
      </c>
      <c r="J46" s="610">
        <f>'Step 3. FA Balance'!V93</f>
        <v>0</v>
      </c>
      <c r="K46" s="593">
        <f>'Step 3. FA Balance'!W93</f>
        <v>0</v>
      </c>
      <c r="L46" s="610">
        <f>'Step 3. FA Balance'!X93</f>
        <v>0</v>
      </c>
      <c r="M46" s="594">
        <f>'Step 3. FA Balance'!Y93</f>
        <v>0</v>
      </c>
    </row>
    <row r="47" spans="1:13" ht="15" thickBot="1"/>
    <row r="48" spans="1:13" ht="24" customHeight="1">
      <c r="A48" s="598" t="s">
        <v>622</v>
      </c>
      <c r="B48" s="599" t="s">
        <v>113</v>
      </c>
    </row>
    <row r="49" spans="1:2" ht="15">
      <c r="A49" s="589" t="s">
        <v>623</v>
      </c>
      <c r="B49" s="600">
        <f>SUM(B44:M44)</f>
        <v>0</v>
      </c>
    </row>
    <row r="50" spans="1:2" ht="15">
      <c r="A50" s="589" t="s">
        <v>624</v>
      </c>
      <c r="B50" s="600">
        <f>SUM(B45:M45)</f>
        <v>0</v>
      </c>
    </row>
    <row r="51" spans="1:2" ht="15">
      <c r="A51" s="589" t="s">
        <v>573</v>
      </c>
      <c r="B51" s="600">
        <f>SUM(B46:M46)</f>
        <v>0</v>
      </c>
    </row>
    <row r="52" spans="1:2">
      <c r="A52" s="602"/>
      <c r="B52" s="603"/>
    </row>
    <row r="53" spans="1:2" ht="16" thickBot="1">
      <c r="A53" s="592" t="s">
        <v>291</v>
      </c>
      <c r="B53" s="601">
        <f>F25</f>
        <v>0</v>
      </c>
    </row>
  </sheetData>
  <mergeCells count="9">
    <mergeCell ref="A2:C2"/>
    <mergeCell ref="B27:M27"/>
    <mergeCell ref="I8:L8"/>
    <mergeCell ref="I9:L9"/>
    <mergeCell ref="A8:A9"/>
    <mergeCell ref="E8:E9"/>
    <mergeCell ref="F8:F9"/>
    <mergeCell ref="G8:H9"/>
    <mergeCell ref="E2:J6"/>
  </mergeCells>
  <printOptions horizontalCentered="1"/>
  <pageMargins left="0.2" right="0.2" top="0.5" bottom="0.5" header="0.3" footer="0.3"/>
  <pageSetup scale="93" orientation="landscape" r:id="rId1"/>
  <colBreaks count="1" manualBreakCount="1">
    <brk id="13" max="1048575"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B68CB-55A9-4D1B-A102-6FD84192DD59}">
  <sheetPr codeName="Sheet11"/>
  <dimension ref="A1:M89"/>
  <sheetViews>
    <sheetView workbookViewId="0"/>
  </sheetViews>
  <sheetFormatPr baseColWidth="10" defaultColWidth="8.83203125" defaultRowHeight="14"/>
  <cols>
    <col min="1" max="1" width="9.83203125" customWidth="1"/>
    <col min="2" max="2" width="9" customWidth="1"/>
  </cols>
  <sheetData>
    <row r="1" spans="1:11" ht="16">
      <c r="A1" s="15" t="s">
        <v>625</v>
      </c>
    </row>
    <row r="2" spans="1:11" ht="16">
      <c r="A2" s="2567">
        <f>Name</f>
        <v>0</v>
      </c>
      <c r="B2" s="2567"/>
      <c r="C2" s="2567"/>
    </row>
    <row r="3" spans="1:11" ht="16">
      <c r="A3" s="4">
        <f>ID</f>
        <v>0</v>
      </c>
    </row>
    <row r="4" spans="1:11" ht="16">
      <c r="A4" s="4">
        <f>Date</f>
        <v>0</v>
      </c>
    </row>
    <row r="5" spans="1:11" ht="17" thickBot="1">
      <c r="A5" s="4"/>
    </row>
    <row r="6" spans="1:11" ht="17" thickBot="1">
      <c r="A6" s="2596" t="s">
        <v>433</v>
      </c>
      <c r="B6" s="2597"/>
      <c r="C6" s="2597"/>
      <c r="D6" s="2597"/>
      <c r="E6" s="2597"/>
      <c r="F6" s="2597"/>
      <c r="G6" s="2597"/>
      <c r="H6" s="2597"/>
      <c r="I6" s="2597"/>
      <c r="J6" s="2597"/>
      <c r="K6" s="2598"/>
    </row>
    <row r="7" spans="1:11" ht="15">
      <c r="A7" s="613" t="s">
        <v>287</v>
      </c>
      <c r="B7" s="2568" t="s">
        <v>79</v>
      </c>
      <c r="C7" s="2569"/>
      <c r="D7" s="2599"/>
      <c r="E7" s="618"/>
      <c r="F7" s="2626" t="s">
        <v>626</v>
      </c>
      <c r="G7" s="553" t="s">
        <v>76</v>
      </c>
      <c r="H7" s="619" t="s">
        <v>86</v>
      </c>
      <c r="I7" s="617"/>
      <c r="J7" s="620" t="s">
        <v>628</v>
      </c>
      <c r="K7" s="621" t="s">
        <v>632</v>
      </c>
    </row>
    <row r="8" spans="1:11" ht="15">
      <c r="A8" s="614" t="s">
        <v>304</v>
      </c>
      <c r="B8" s="2600"/>
      <c r="C8" s="2601"/>
      <c r="D8" s="2602"/>
      <c r="E8" s="622" t="s">
        <v>63</v>
      </c>
      <c r="F8" s="2627"/>
      <c r="G8" s="622" t="s">
        <v>64</v>
      </c>
      <c r="H8" s="623" t="s">
        <v>77</v>
      </c>
      <c r="I8" s="624" t="s">
        <v>78</v>
      </c>
      <c r="J8" s="625" t="s">
        <v>629</v>
      </c>
      <c r="K8" s="626" t="s">
        <v>449</v>
      </c>
    </row>
    <row r="9" spans="1:11" ht="15">
      <c r="A9" s="615" t="s">
        <v>36</v>
      </c>
      <c r="B9" s="2603"/>
      <c r="C9" s="2604"/>
      <c r="D9" s="2605"/>
      <c r="E9" s="627" t="s">
        <v>80</v>
      </c>
      <c r="F9" s="628" t="s">
        <v>283</v>
      </c>
      <c r="G9" s="627" t="s">
        <v>81</v>
      </c>
      <c r="H9" s="628" t="s">
        <v>82</v>
      </c>
      <c r="I9" s="629" t="s">
        <v>81</v>
      </c>
      <c r="J9" s="630" t="s">
        <v>630</v>
      </c>
      <c r="K9" s="631" t="s">
        <v>631</v>
      </c>
    </row>
    <row r="10" spans="1:11" ht="15">
      <c r="A10" s="632">
        <f>Field1</f>
        <v>1</v>
      </c>
      <c r="B10" s="2635">
        <f>Kind1</f>
        <v>0</v>
      </c>
      <c r="C10" s="2636"/>
      <c r="D10" s="2636"/>
      <c r="E10" s="633">
        <f>Acres1</f>
        <v>0</v>
      </c>
      <c r="F10" s="567" t="str">
        <f>Yield1</f>
        <v/>
      </c>
      <c r="G10" s="554" t="str">
        <f>'Step 3. FA Balance'!K103</f>
        <v/>
      </c>
      <c r="H10" s="567" t="str">
        <f>Efficiency1</f>
        <v/>
      </c>
      <c r="I10" s="554" t="str">
        <f>'Step 3. FA Balance'!M103</f>
        <v/>
      </c>
      <c r="J10" s="633" t="str">
        <f>IF(HayMonth1&gt;0,"Yes","No")</f>
        <v>No</v>
      </c>
      <c r="K10" s="634" t="str">
        <f>IF(J10="Yes", 'Step 3. FA Balance'!J104,"")</f>
        <v/>
      </c>
    </row>
    <row r="11" spans="1:11" ht="15">
      <c r="A11" s="632">
        <f>Field2</f>
        <v>2</v>
      </c>
      <c r="B11" s="2618">
        <f>Kind2</f>
        <v>0</v>
      </c>
      <c r="C11" s="2619"/>
      <c r="D11" s="2619"/>
      <c r="E11" s="635">
        <f>Acres2</f>
        <v>0</v>
      </c>
      <c r="F11" s="568" t="str">
        <f>Yield2</f>
        <v/>
      </c>
      <c r="G11" s="554" t="str">
        <f>'Step 3. FA Balance'!K105</f>
        <v/>
      </c>
      <c r="H11" s="568" t="str">
        <f>Efficiency2</f>
        <v/>
      </c>
      <c r="I11" s="554" t="str">
        <f>'Step 3. FA Balance'!M105</f>
        <v/>
      </c>
      <c r="J11" s="635" t="str">
        <f>IF(HayMonth2&gt;0,"Yes","No")</f>
        <v>No</v>
      </c>
      <c r="K11" s="634" t="str">
        <f>IF(J11="Yes", 'Step 3. FA Balance'!J106,"")</f>
        <v/>
      </c>
    </row>
    <row r="12" spans="1:11" ht="15">
      <c r="A12" s="632">
        <f>Field3</f>
        <v>3</v>
      </c>
      <c r="B12" s="2618">
        <f>Kind3</f>
        <v>0</v>
      </c>
      <c r="C12" s="2619"/>
      <c r="D12" s="2619"/>
      <c r="E12" s="635">
        <f>Acres3</f>
        <v>0</v>
      </c>
      <c r="F12" s="568" t="str">
        <f>Yield3</f>
        <v/>
      </c>
      <c r="G12" s="554" t="str">
        <f>'Step 3. FA Balance'!K107</f>
        <v/>
      </c>
      <c r="H12" s="568" t="str">
        <f>Efficiency3</f>
        <v/>
      </c>
      <c r="I12" s="554" t="str">
        <f>'Step 3. FA Balance'!M107</f>
        <v/>
      </c>
      <c r="J12" s="635" t="str">
        <f>IF(HayMonth3&gt;0,"Yes","No")</f>
        <v>No</v>
      </c>
      <c r="K12" s="634" t="str">
        <f>IF(J12="Yes", 'Step 3. FA Balance'!J108,"")</f>
        <v/>
      </c>
    </row>
    <row r="13" spans="1:11" ht="15">
      <c r="A13" s="632">
        <f>Field4</f>
        <v>4</v>
      </c>
      <c r="B13" s="2618">
        <f>Kind4</f>
        <v>0</v>
      </c>
      <c r="C13" s="2619"/>
      <c r="D13" s="2619"/>
      <c r="E13" s="635">
        <f>Acres4</f>
        <v>0</v>
      </c>
      <c r="F13" s="568" t="str">
        <f>Yield4</f>
        <v/>
      </c>
      <c r="G13" s="554" t="str">
        <f>'Step 3. FA Balance'!K109</f>
        <v/>
      </c>
      <c r="H13" s="568" t="str">
        <f>Efficiency4</f>
        <v/>
      </c>
      <c r="I13" s="554" t="str">
        <f>'Step 3. FA Balance'!M109</f>
        <v/>
      </c>
      <c r="J13" s="635" t="str">
        <f>IF(HayMonth4&gt;0,"Yes","No")</f>
        <v>No</v>
      </c>
      <c r="K13" s="634" t="str">
        <f>IF(J13="Yes", 'Step 3. FA Balance'!J110,"")</f>
        <v/>
      </c>
    </row>
    <row r="14" spans="1:11" ht="15">
      <c r="A14" s="632">
        <f>Field5</f>
        <v>5</v>
      </c>
      <c r="B14" s="2618">
        <f>Kind5</f>
        <v>0</v>
      </c>
      <c r="C14" s="2619"/>
      <c r="D14" s="2619"/>
      <c r="E14" s="635">
        <f>Acres5</f>
        <v>0</v>
      </c>
      <c r="F14" s="568" t="str">
        <f>Yield5</f>
        <v/>
      </c>
      <c r="G14" s="554" t="str">
        <f>'Step 3. FA Balance'!K111</f>
        <v/>
      </c>
      <c r="H14" s="568" t="str">
        <f>Efficiency5</f>
        <v/>
      </c>
      <c r="I14" s="554" t="str">
        <f>'Step 3. FA Balance'!M111</f>
        <v/>
      </c>
      <c r="J14" s="635" t="str">
        <f>IF(HayMonth5&gt;0,"Yes","No")</f>
        <v>No</v>
      </c>
      <c r="K14" s="634" t="str">
        <f>IF(J14="Yes", 'Step 3. FA Balance'!J112,"")</f>
        <v/>
      </c>
    </row>
    <row r="15" spans="1:11" ht="15">
      <c r="A15" s="632">
        <f>Field6</f>
        <v>6</v>
      </c>
      <c r="B15" s="2618">
        <f>Kind6</f>
        <v>0</v>
      </c>
      <c r="C15" s="2619"/>
      <c r="D15" s="2619"/>
      <c r="E15" s="635">
        <f>Acres6</f>
        <v>0</v>
      </c>
      <c r="F15" s="568" t="str">
        <f>Yield6</f>
        <v/>
      </c>
      <c r="G15" s="554" t="str">
        <f>'Step 3. FA Balance'!K113</f>
        <v/>
      </c>
      <c r="H15" s="568" t="str">
        <f>Efficiency6</f>
        <v/>
      </c>
      <c r="I15" s="554" t="str">
        <f>'Step 3. FA Balance'!M113</f>
        <v/>
      </c>
      <c r="J15" s="635" t="str">
        <f>IF(HayMonth6&gt;0,"Yes","No")</f>
        <v>No</v>
      </c>
      <c r="K15" s="634" t="str">
        <f>IF(J15="Yes", 'Step 3. FA Balance'!J114,"")</f>
        <v/>
      </c>
    </row>
    <row r="16" spans="1:11" ht="15">
      <c r="A16" s="632">
        <f>Field7</f>
        <v>7</v>
      </c>
      <c r="B16" s="2618">
        <f>Kind7</f>
        <v>0</v>
      </c>
      <c r="C16" s="2619"/>
      <c r="D16" s="2619"/>
      <c r="E16" s="635">
        <f>Acres7</f>
        <v>0</v>
      </c>
      <c r="F16" s="568" t="str">
        <f>Yield7</f>
        <v/>
      </c>
      <c r="G16" s="554" t="str">
        <f>'Step 3. FA Balance'!K115</f>
        <v/>
      </c>
      <c r="H16" s="568" t="str">
        <f>Efficiency7</f>
        <v/>
      </c>
      <c r="I16" s="554" t="str">
        <f>'Step 3. FA Balance'!M115</f>
        <v/>
      </c>
      <c r="J16" s="635" t="str">
        <f>IF(HayMonth7&gt;0,"Yes","No")</f>
        <v>No</v>
      </c>
      <c r="K16" s="634" t="str">
        <f>IF(J16="Yes", 'Step 3. FA Balance'!J116,"")</f>
        <v/>
      </c>
    </row>
    <row r="17" spans="1:11" ht="15">
      <c r="A17" s="632">
        <f>Field8</f>
        <v>8</v>
      </c>
      <c r="B17" s="2618">
        <f>Kind8</f>
        <v>0</v>
      </c>
      <c r="C17" s="2619"/>
      <c r="D17" s="2619"/>
      <c r="E17" s="635">
        <f>Acres8</f>
        <v>0</v>
      </c>
      <c r="F17" s="568" t="str">
        <f>Yield8</f>
        <v/>
      </c>
      <c r="G17" s="554" t="str">
        <f>'Step 3. FA Balance'!K117</f>
        <v/>
      </c>
      <c r="H17" s="568" t="str">
        <f>Efficiency8</f>
        <v/>
      </c>
      <c r="I17" s="554" t="str">
        <f>'Step 3. FA Balance'!M117</f>
        <v/>
      </c>
      <c r="J17" s="635" t="str">
        <f>IF(HayMonth8&gt;0,"Yes","No")</f>
        <v>No</v>
      </c>
      <c r="K17" s="634" t="str">
        <f>IF(J17="Yes", 'Step 3. FA Balance'!J118,"")</f>
        <v/>
      </c>
    </row>
    <row r="18" spans="1:11" ht="15">
      <c r="A18" s="632">
        <f>Field9</f>
        <v>9</v>
      </c>
      <c r="B18" s="2618">
        <f>Kind9</f>
        <v>0</v>
      </c>
      <c r="C18" s="2619"/>
      <c r="D18" s="2619"/>
      <c r="E18" s="635">
        <f>Acres9</f>
        <v>0</v>
      </c>
      <c r="F18" s="568" t="str">
        <f>Yield9</f>
        <v/>
      </c>
      <c r="G18" s="554" t="str">
        <f>'Step 3. FA Balance'!K119</f>
        <v/>
      </c>
      <c r="H18" s="568" t="str">
        <f>Efficiency9</f>
        <v/>
      </c>
      <c r="I18" s="554" t="str">
        <f>'Step 3. FA Balance'!M119</f>
        <v/>
      </c>
      <c r="J18" s="635" t="str">
        <f>IF(HayMonth9&gt;0,"Yes","No")</f>
        <v>No</v>
      </c>
      <c r="K18" s="634" t="str">
        <f>IF(J18="Yes", 'Step 3. FA Balance'!J120,"")</f>
        <v/>
      </c>
    </row>
    <row r="19" spans="1:11" ht="15">
      <c r="A19" s="632">
        <f>Field10</f>
        <v>10</v>
      </c>
      <c r="B19" s="2618">
        <f>Kind10</f>
        <v>0</v>
      </c>
      <c r="C19" s="2619"/>
      <c r="D19" s="2619"/>
      <c r="E19" s="635">
        <f>Acres10</f>
        <v>0</v>
      </c>
      <c r="F19" s="568" t="str">
        <f>Yield10</f>
        <v/>
      </c>
      <c r="G19" s="554" t="str">
        <f>'Step 3. FA Balance'!K121</f>
        <v/>
      </c>
      <c r="H19" s="568" t="str">
        <f>Efficiency10</f>
        <v/>
      </c>
      <c r="I19" s="554" t="str">
        <f>'Step 3. FA Balance'!M121</f>
        <v/>
      </c>
      <c r="J19" s="635" t="str">
        <f>IF(HayMonth10&gt;0,"Yes","No")</f>
        <v>No</v>
      </c>
      <c r="K19" s="634" t="str">
        <f>IF(J19="Yes", 'Step 3. FA Balance'!J122,"")</f>
        <v/>
      </c>
    </row>
    <row r="20" spans="1:11" ht="15">
      <c r="A20" s="632">
        <f>Field11</f>
        <v>11</v>
      </c>
      <c r="B20" s="2618">
        <f>Kind11</f>
        <v>0</v>
      </c>
      <c r="C20" s="2619"/>
      <c r="D20" s="2619"/>
      <c r="E20" s="635">
        <f>Acres11</f>
        <v>0</v>
      </c>
      <c r="F20" s="568" t="str">
        <f>Yield11</f>
        <v/>
      </c>
      <c r="G20" s="554" t="str">
        <f>'Step 3. FA Balance'!K123</f>
        <v/>
      </c>
      <c r="H20" s="568" t="str">
        <f>Efficiency11</f>
        <v/>
      </c>
      <c r="I20" s="554" t="str">
        <f>'Step 3. FA Balance'!M123</f>
        <v/>
      </c>
      <c r="J20" s="635" t="str">
        <f>IF(HayMonth11&gt;0,"Yes","No")</f>
        <v>No</v>
      </c>
      <c r="K20" s="634" t="str">
        <f>IF(J20="Yes", 'Step 3. FA Balance'!J124,"")</f>
        <v/>
      </c>
    </row>
    <row r="21" spans="1:11" ht="15">
      <c r="A21" s="632">
        <f>Field12</f>
        <v>12</v>
      </c>
      <c r="B21" s="2618">
        <f>Kind12</f>
        <v>0</v>
      </c>
      <c r="C21" s="2619"/>
      <c r="D21" s="2619"/>
      <c r="E21" s="635">
        <f>Acres12</f>
        <v>0</v>
      </c>
      <c r="F21" s="568" t="str">
        <f>Yield12</f>
        <v/>
      </c>
      <c r="G21" s="554" t="str">
        <f>'Step 3. FA Balance'!K125</f>
        <v/>
      </c>
      <c r="H21" s="568" t="str">
        <f>Efficiency12</f>
        <v/>
      </c>
      <c r="I21" s="554" t="str">
        <f>'Step 3. FA Balance'!M125</f>
        <v/>
      </c>
      <c r="J21" s="635" t="str">
        <f>IF(HayMonth12&gt;0,"Yes","No")</f>
        <v>No</v>
      </c>
      <c r="K21" s="634" t="str">
        <f>IF(J21="Yes", 'Step 3. FA Balance'!J126,"")</f>
        <v/>
      </c>
    </row>
    <row r="22" spans="1:11" ht="15">
      <c r="A22" s="632">
        <f>Field13</f>
        <v>13</v>
      </c>
      <c r="B22" s="2618">
        <f>Kind13</f>
        <v>0</v>
      </c>
      <c r="C22" s="2619"/>
      <c r="D22" s="2619"/>
      <c r="E22" s="635">
        <f>Acres13</f>
        <v>0</v>
      </c>
      <c r="F22" s="568" t="str">
        <f>Yield13</f>
        <v/>
      </c>
      <c r="G22" s="554" t="str">
        <f>'Step 3. FA Balance'!K127</f>
        <v/>
      </c>
      <c r="H22" s="568" t="str">
        <f>Efficiency13</f>
        <v/>
      </c>
      <c r="I22" s="554" t="str">
        <f>'Step 3. FA Balance'!M127</f>
        <v/>
      </c>
      <c r="J22" s="635" t="str">
        <f>IF(HayMonth13&gt;0,"Yes","No")</f>
        <v>No</v>
      </c>
      <c r="K22" s="634" t="str">
        <f>IF(J22="Yes", 'Step 3. FA Balance'!J128,"")</f>
        <v/>
      </c>
    </row>
    <row r="23" spans="1:11" ht="15">
      <c r="A23" s="632">
        <f>Field14</f>
        <v>14</v>
      </c>
      <c r="B23" s="2618">
        <f>Kind14</f>
        <v>0</v>
      </c>
      <c r="C23" s="2619"/>
      <c r="D23" s="2619"/>
      <c r="E23" s="635">
        <f>Acres14</f>
        <v>0</v>
      </c>
      <c r="F23" s="568" t="str">
        <f>Yield14</f>
        <v/>
      </c>
      <c r="G23" s="554" t="str">
        <f>'Step 3. FA Balance'!K129</f>
        <v/>
      </c>
      <c r="H23" s="568" t="str">
        <f>Efficiency14</f>
        <v/>
      </c>
      <c r="I23" s="554" t="str">
        <f>'Step 3. FA Balance'!M129</f>
        <v/>
      </c>
      <c r="J23" s="635" t="str">
        <f>IF(HayMonth14&gt;0,"Yes","No")</f>
        <v>No</v>
      </c>
      <c r="K23" s="634" t="str">
        <f>IF(J23="Yes", 'Step 3. FA Balance'!J130,"")</f>
        <v/>
      </c>
    </row>
    <row r="24" spans="1:11" ht="15">
      <c r="A24" s="632">
        <f>Field15</f>
        <v>15</v>
      </c>
      <c r="B24" s="2618">
        <f>Kind15</f>
        <v>0</v>
      </c>
      <c r="C24" s="2619"/>
      <c r="D24" s="2619"/>
      <c r="E24" s="635">
        <f>Acres15</f>
        <v>0</v>
      </c>
      <c r="F24" s="568" t="str">
        <f>Yield15</f>
        <v/>
      </c>
      <c r="G24" s="554" t="str">
        <f>'Step 3. FA Balance'!K131</f>
        <v/>
      </c>
      <c r="H24" s="568" t="str">
        <f>Efficiency15</f>
        <v/>
      </c>
      <c r="I24" s="554" t="str">
        <f>'Step 3. FA Balance'!M131</f>
        <v/>
      </c>
      <c r="J24" s="635" t="str">
        <f>IF(HayMonth15&gt;0,"Yes","No")</f>
        <v>No</v>
      </c>
      <c r="K24" s="634" t="str">
        <f>IF(J24="Yes", 'Step 3. FA Balance'!J132,"")</f>
        <v/>
      </c>
    </row>
    <row r="25" spans="1:11" ht="15">
      <c r="A25" s="632">
        <f>Field16</f>
        <v>16</v>
      </c>
      <c r="B25" s="2618">
        <f>Kind16</f>
        <v>0</v>
      </c>
      <c r="C25" s="2619"/>
      <c r="D25" s="2619"/>
      <c r="E25" s="635">
        <f>Acres16</f>
        <v>0</v>
      </c>
      <c r="F25" s="568" t="str">
        <f>Yield16</f>
        <v/>
      </c>
      <c r="G25" s="554" t="str">
        <f>'Step 3. FA Balance'!K133</f>
        <v/>
      </c>
      <c r="H25" s="568" t="str">
        <f>Efficiency16</f>
        <v/>
      </c>
      <c r="I25" s="554" t="str">
        <f>'Step 3. FA Balance'!M133</f>
        <v/>
      </c>
      <c r="J25" s="635" t="str">
        <f>IF(HayMonth16&gt;0,"Yes","No")</f>
        <v>No</v>
      </c>
      <c r="K25" s="634" t="str">
        <f>IF(J25="Yes", 'Step 3. FA Balance'!J134,"")</f>
        <v/>
      </c>
    </row>
    <row r="26" spans="1:11" ht="15">
      <c r="A26" s="632">
        <f>Field17</f>
        <v>17</v>
      </c>
      <c r="B26" s="2618">
        <f>Kind17</f>
        <v>0</v>
      </c>
      <c r="C26" s="2619"/>
      <c r="D26" s="2619"/>
      <c r="E26" s="635">
        <f>Acres17</f>
        <v>0</v>
      </c>
      <c r="F26" s="568" t="str">
        <f>Yield17</f>
        <v/>
      </c>
      <c r="G26" s="554" t="str">
        <f>'Step 3. FA Balance'!K135</f>
        <v/>
      </c>
      <c r="H26" s="568" t="str">
        <f>Efficiency17</f>
        <v/>
      </c>
      <c r="I26" s="554" t="str">
        <f>'Step 3. FA Balance'!M135</f>
        <v/>
      </c>
      <c r="J26" s="635" t="str">
        <f>IF(HayMonth17&gt;0,"Yes","No")</f>
        <v>No</v>
      </c>
      <c r="K26" s="634" t="str">
        <f>IF(J26="Yes", 'Step 3. FA Balance'!J136,"")</f>
        <v/>
      </c>
    </row>
    <row r="27" spans="1:11" ht="15">
      <c r="A27" s="632">
        <f>Field18</f>
        <v>18</v>
      </c>
      <c r="B27" s="2618">
        <f>Kind18</f>
        <v>0</v>
      </c>
      <c r="C27" s="2619"/>
      <c r="D27" s="2619"/>
      <c r="E27" s="635">
        <f>Acres18</f>
        <v>0</v>
      </c>
      <c r="F27" s="568" t="str">
        <f>Yield18</f>
        <v/>
      </c>
      <c r="G27" s="554" t="str">
        <f>'Step 3. FA Balance'!K137</f>
        <v/>
      </c>
      <c r="H27" s="568" t="str">
        <f>Efficiency18</f>
        <v/>
      </c>
      <c r="I27" s="554" t="str">
        <f>'Step 3. FA Balance'!M137</f>
        <v/>
      </c>
      <c r="J27" s="635" t="str">
        <f>IF(HayMonth18&gt;0,"Yes","No")</f>
        <v>No</v>
      </c>
      <c r="K27" s="634" t="str">
        <f>IF(J27="Yes", 'Step 3. FA Balance'!J138,"")</f>
        <v/>
      </c>
    </row>
    <row r="28" spans="1:11" ht="15">
      <c r="A28" s="632">
        <f>Field19</f>
        <v>19</v>
      </c>
      <c r="B28" s="2618">
        <f>Kind19</f>
        <v>0</v>
      </c>
      <c r="C28" s="2619"/>
      <c r="D28" s="2619"/>
      <c r="E28" s="635">
        <f>Acres19</f>
        <v>0</v>
      </c>
      <c r="F28" s="568" t="str">
        <f>Yield19</f>
        <v/>
      </c>
      <c r="G28" s="554" t="str">
        <f>'Step 3. FA Balance'!K139</f>
        <v/>
      </c>
      <c r="H28" s="568" t="str">
        <f>Efficiency19</f>
        <v/>
      </c>
      <c r="I28" s="554" t="str">
        <f>'Step 3. FA Balance'!M139</f>
        <v/>
      </c>
      <c r="J28" s="635" t="str">
        <f>IF(HayMonth19&gt;0,"Yes","No")</f>
        <v>No</v>
      </c>
      <c r="K28" s="634" t="str">
        <f>IF(J28="Yes", 'Step 3. FA Balance'!J140,"")</f>
        <v/>
      </c>
    </row>
    <row r="29" spans="1:11" ht="15">
      <c r="A29" s="632">
        <f>Field20</f>
        <v>20</v>
      </c>
      <c r="B29" s="2618">
        <f>Kind20</f>
        <v>0</v>
      </c>
      <c r="C29" s="2619"/>
      <c r="D29" s="2619"/>
      <c r="E29" s="635">
        <f>Acres20</f>
        <v>0</v>
      </c>
      <c r="F29" s="568" t="str">
        <f>Yield20</f>
        <v/>
      </c>
      <c r="G29" s="554" t="str">
        <f>'Step 3. FA Balance'!K141</f>
        <v/>
      </c>
      <c r="H29" s="568" t="str">
        <f>Efficiency20</f>
        <v/>
      </c>
      <c r="I29" s="554" t="str">
        <f>'Step 3. FA Balance'!M141</f>
        <v/>
      </c>
      <c r="J29" s="635" t="str">
        <f>IF(HayMonth20&gt;0,"Yes","No")</f>
        <v>No</v>
      </c>
      <c r="K29" s="634" t="str">
        <f>IF(J29="Yes", 'Step 3. FA Balance'!J142,"")</f>
        <v/>
      </c>
    </row>
    <row r="30" spans="1:11" ht="15">
      <c r="A30" s="632">
        <f>Field21</f>
        <v>21</v>
      </c>
      <c r="B30" s="2618">
        <f>Kind21</f>
        <v>0</v>
      </c>
      <c r="C30" s="2619"/>
      <c r="D30" s="2619"/>
      <c r="E30" s="635">
        <f>Acres21</f>
        <v>0</v>
      </c>
      <c r="F30" s="568" t="str">
        <f>Yield21</f>
        <v/>
      </c>
      <c r="G30" s="554" t="str">
        <f>'Step 3. FA Balance'!K143</f>
        <v/>
      </c>
      <c r="H30" s="568" t="str">
        <f>Efficiency21</f>
        <v/>
      </c>
      <c r="I30" s="554" t="str">
        <f>'Step 3. FA Balance'!M143</f>
        <v/>
      </c>
      <c r="J30" s="635" t="str">
        <f>IF(HayMonth21&gt;0,"Yes","No")</f>
        <v>No</v>
      </c>
      <c r="K30" s="634" t="str">
        <f>IF(J30="Yes", 'Step 3. FA Balance'!J144,"")</f>
        <v/>
      </c>
    </row>
    <row r="31" spans="1:11" ht="15">
      <c r="A31" s="632">
        <f>Field22</f>
        <v>22</v>
      </c>
      <c r="B31" s="2618">
        <f>Kind22</f>
        <v>0</v>
      </c>
      <c r="C31" s="2619"/>
      <c r="D31" s="2619"/>
      <c r="E31" s="635">
        <f>Acres22</f>
        <v>0</v>
      </c>
      <c r="F31" s="568" t="str">
        <f>Yield22</f>
        <v/>
      </c>
      <c r="G31" s="554" t="str">
        <f>'Step 3. FA Balance'!K145</f>
        <v/>
      </c>
      <c r="H31" s="568" t="str">
        <f>Efficiency22</f>
        <v/>
      </c>
      <c r="I31" s="554" t="str">
        <f>'Step 3. FA Balance'!M145</f>
        <v/>
      </c>
      <c r="J31" s="635" t="str">
        <f>IF(HayMonth22&gt;0,"Yes","No")</f>
        <v>No</v>
      </c>
      <c r="K31" s="634" t="str">
        <f>IF(J31="Yes", 'Step 3. FA Balance'!J146,"")</f>
        <v/>
      </c>
    </row>
    <row r="32" spans="1:11" ht="15">
      <c r="A32" s="632">
        <f>Field23</f>
        <v>23</v>
      </c>
      <c r="B32" s="2618">
        <f>Kind23</f>
        <v>0</v>
      </c>
      <c r="C32" s="2619"/>
      <c r="D32" s="2619"/>
      <c r="E32" s="635">
        <f>Acres23</f>
        <v>0</v>
      </c>
      <c r="F32" s="568" t="str">
        <f>Yield23</f>
        <v/>
      </c>
      <c r="G32" s="554" t="str">
        <f>'Step 3. FA Balance'!K147</f>
        <v/>
      </c>
      <c r="H32" s="568" t="str">
        <f>Efficiency23</f>
        <v/>
      </c>
      <c r="I32" s="554" t="str">
        <f>'Step 3. FA Balance'!M147</f>
        <v/>
      </c>
      <c r="J32" s="635" t="str">
        <f>IF(HayMonth23&gt;0,"Yes","No")</f>
        <v>No</v>
      </c>
      <c r="K32" s="634" t="str">
        <f>IF(J32="Yes", 'Step 3. FA Balance'!J148,"")</f>
        <v/>
      </c>
    </row>
    <row r="33" spans="1:13" ht="15">
      <c r="A33" s="640">
        <f>Field24</f>
        <v>24</v>
      </c>
      <c r="B33" s="2620">
        <f>Kind24</f>
        <v>0</v>
      </c>
      <c r="C33" s="2621"/>
      <c r="D33" s="2621"/>
      <c r="E33" s="647">
        <f>Acres24</f>
        <v>0</v>
      </c>
      <c r="F33" s="582" t="str">
        <f>Yield24</f>
        <v/>
      </c>
      <c r="G33" s="581" t="str">
        <f>'Step 3. FA Balance'!K149</f>
        <v/>
      </c>
      <c r="H33" s="582" t="str">
        <f>Efficiency24</f>
        <v/>
      </c>
      <c r="I33" s="581" t="str">
        <f>'Step 3. FA Balance'!M149</f>
        <v/>
      </c>
      <c r="J33" s="647" t="str">
        <f>IF(HayMonth24&gt;0,"Yes","No")</f>
        <v>No</v>
      </c>
      <c r="K33" s="648" t="str">
        <f>IF(J33="Yes", 'Step 3. FA Balance'!J150,"")</f>
        <v/>
      </c>
    </row>
    <row r="34" spans="1:13" ht="15">
      <c r="A34" s="2615" t="s">
        <v>285</v>
      </c>
      <c r="B34" s="2616"/>
      <c r="C34" s="2616"/>
      <c r="D34" s="2617"/>
      <c r="E34" s="887">
        <f>SUM(E10:E33)</f>
        <v>0</v>
      </c>
      <c r="F34" s="888"/>
      <c r="G34" s="887">
        <f>SUM(G10:G33)</f>
        <v>0</v>
      </c>
      <c r="H34" s="888"/>
      <c r="I34" s="887">
        <f>SUM(I10:I33)</f>
        <v>0</v>
      </c>
      <c r="J34" s="889"/>
      <c r="K34" s="890"/>
    </row>
    <row r="35" spans="1:13" ht="16" thickBot="1">
      <c r="A35" s="884" t="s">
        <v>668</v>
      </c>
      <c r="B35" s="885"/>
      <c r="C35" s="885"/>
      <c r="D35" s="885"/>
      <c r="E35" s="891">
        <f>SUBTOTAL(101,E10:E33)</f>
        <v>0</v>
      </c>
      <c r="F35" s="891" t="e">
        <f>SUBTOTAL(101,F10:F33)</f>
        <v>#DIV/0!</v>
      </c>
      <c r="G35" s="891" t="e">
        <f>SUBTOTAL(101,G10:G33)</f>
        <v>#DIV/0!</v>
      </c>
      <c r="H35" s="891" t="e">
        <f>SUBTOTAL(101,H10:H33)</f>
        <v>#DIV/0!</v>
      </c>
      <c r="I35" s="891" t="e">
        <f>SUBTOTAL(101,I10:I33)</f>
        <v>#DIV/0!</v>
      </c>
      <c r="J35" s="892"/>
      <c r="K35" s="886"/>
    </row>
    <row r="36" spans="1:13" ht="16.5" customHeight="1">
      <c r="A36" s="2628" t="s">
        <v>627</v>
      </c>
      <c r="B36" s="2628"/>
      <c r="C36" s="2628"/>
      <c r="D36" s="2628"/>
      <c r="E36" s="2628"/>
      <c r="F36" s="2628"/>
      <c r="G36" s="2628"/>
      <c r="H36" s="2628"/>
      <c r="I36" s="2628"/>
      <c r="J36" s="2628"/>
    </row>
    <row r="37" spans="1:13" ht="16.5" customHeight="1">
      <c r="A37" s="2628"/>
      <c r="B37" s="2628"/>
      <c r="C37" s="2628"/>
      <c r="D37" s="2628"/>
      <c r="E37" s="2628"/>
      <c r="F37" s="2628"/>
      <c r="G37" s="2628"/>
      <c r="H37" s="2628"/>
      <c r="I37" s="2628"/>
      <c r="J37" s="2628"/>
    </row>
    <row r="38" spans="1:13" ht="15" thickBot="1"/>
    <row r="39" spans="1:13" ht="15">
      <c r="A39" s="613" t="s">
        <v>287</v>
      </c>
      <c r="B39" s="2629" t="s">
        <v>382</v>
      </c>
      <c r="C39" s="2630"/>
      <c r="D39" s="2630"/>
      <c r="E39" s="2630"/>
      <c r="F39" s="2630"/>
      <c r="G39" s="2630"/>
      <c r="H39" s="2630"/>
      <c r="I39" s="2630"/>
      <c r="J39" s="2630"/>
      <c r="K39" s="2630"/>
      <c r="L39" s="2630"/>
      <c r="M39" s="2631"/>
    </row>
    <row r="40" spans="1:13" ht="15">
      <c r="A40" s="614" t="s">
        <v>304</v>
      </c>
      <c r="B40" s="2632"/>
      <c r="C40" s="2633"/>
      <c r="D40" s="2633"/>
      <c r="E40" s="2633"/>
      <c r="F40" s="2633"/>
      <c r="G40" s="2633"/>
      <c r="H40" s="2633"/>
      <c r="I40" s="2633"/>
      <c r="J40" s="2633"/>
      <c r="K40" s="2633"/>
      <c r="L40" s="2633"/>
      <c r="M40" s="2634"/>
    </row>
    <row r="41" spans="1:13">
      <c r="A41" s="615" t="s">
        <v>36</v>
      </c>
      <c r="B41" s="961" t="s">
        <v>276</v>
      </c>
      <c r="C41" s="961" t="s">
        <v>277</v>
      </c>
      <c r="D41" s="961" t="s">
        <v>88</v>
      </c>
      <c r="E41" s="961" t="s">
        <v>89</v>
      </c>
      <c r="F41" s="961" t="s">
        <v>39</v>
      </c>
      <c r="G41" s="961" t="s">
        <v>90</v>
      </c>
      <c r="H41" s="961" t="s">
        <v>91</v>
      </c>
      <c r="I41" s="961" t="s">
        <v>92</v>
      </c>
      <c r="J41" s="961" t="s">
        <v>93</v>
      </c>
      <c r="K41" s="961" t="s">
        <v>94</v>
      </c>
      <c r="L41" s="961" t="s">
        <v>95</v>
      </c>
      <c r="M41" s="961" t="s">
        <v>96</v>
      </c>
    </row>
    <row r="42" spans="1:13" ht="15">
      <c r="A42" s="632">
        <f>Field1</f>
        <v>1</v>
      </c>
      <c r="B42" s="636" t="str">
        <f>'Step 3. FA Balance'!N103</f>
        <v/>
      </c>
      <c r="C42" s="637" t="str">
        <f>'Step 3. FA Balance'!O103</f>
        <v/>
      </c>
      <c r="D42" s="637" t="str">
        <f>'Step 3. FA Balance'!P103</f>
        <v/>
      </c>
      <c r="E42" s="637" t="str">
        <f>'Step 3. FA Balance'!Q103</f>
        <v/>
      </c>
      <c r="F42" s="637" t="str">
        <f>'Step 3. FA Balance'!R103</f>
        <v/>
      </c>
      <c r="G42" s="637" t="str">
        <f>'Step 3. FA Balance'!S103</f>
        <v/>
      </c>
      <c r="H42" s="637" t="str">
        <f>'Step 3. FA Balance'!T103</f>
        <v/>
      </c>
      <c r="I42" s="637" t="str">
        <f>'Step 3. FA Balance'!U103</f>
        <v/>
      </c>
      <c r="J42" s="637" t="str">
        <f>'Step 3. FA Balance'!V103</f>
        <v/>
      </c>
      <c r="K42" s="637" t="str">
        <f>'Step 3. FA Balance'!W103</f>
        <v/>
      </c>
      <c r="L42" s="637" t="str">
        <f>'Step 3. FA Balance'!X103</f>
        <v/>
      </c>
      <c r="M42" s="638" t="str">
        <f>'Step 3. FA Balance'!Y103</f>
        <v/>
      </c>
    </row>
    <row r="43" spans="1:13" ht="15">
      <c r="A43" s="632">
        <f>Field2</f>
        <v>2</v>
      </c>
      <c r="B43" s="636" t="str">
        <f>'Step 3. FA Balance'!N105</f>
        <v/>
      </c>
      <c r="C43" s="636" t="str">
        <f>'Step 3. FA Balance'!O105</f>
        <v/>
      </c>
      <c r="D43" s="636" t="str">
        <f>'Step 3. FA Balance'!P105</f>
        <v/>
      </c>
      <c r="E43" s="636" t="str">
        <f>'Step 3. FA Balance'!Q105</f>
        <v/>
      </c>
      <c r="F43" s="636" t="str">
        <f>'Step 3. FA Balance'!R105</f>
        <v/>
      </c>
      <c r="G43" s="636" t="str">
        <f>'Step 3. FA Balance'!S105</f>
        <v/>
      </c>
      <c r="H43" s="636" t="str">
        <f>'Step 3. FA Balance'!T105</f>
        <v/>
      </c>
      <c r="I43" s="636" t="str">
        <f>'Step 3. FA Balance'!U105</f>
        <v/>
      </c>
      <c r="J43" s="636" t="str">
        <f>'Step 3. FA Balance'!V105</f>
        <v/>
      </c>
      <c r="K43" s="636" t="str">
        <f>'Step 3. FA Balance'!W105</f>
        <v/>
      </c>
      <c r="L43" s="636" t="str">
        <f>'Step 3. FA Balance'!X105</f>
        <v/>
      </c>
      <c r="M43" s="639" t="str">
        <f>'Step 3. FA Balance'!Y105</f>
        <v/>
      </c>
    </row>
    <row r="44" spans="1:13" ht="15">
      <c r="A44" s="632">
        <f>Field3</f>
        <v>3</v>
      </c>
      <c r="B44" s="636" t="str">
        <f>'Step 3. FA Balance'!N107</f>
        <v/>
      </c>
      <c r="C44" s="636" t="str">
        <f>'Step 3. FA Balance'!O107</f>
        <v/>
      </c>
      <c r="D44" s="636" t="str">
        <f>'Step 3. FA Balance'!P107</f>
        <v/>
      </c>
      <c r="E44" s="636" t="str">
        <f>'Step 3. FA Balance'!Q107</f>
        <v/>
      </c>
      <c r="F44" s="636" t="str">
        <f>'Step 3. FA Balance'!R107</f>
        <v/>
      </c>
      <c r="G44" s="636" t="str">
        <f>'Step 3. FA Balance'!S107</f>
        <v/>
      </c>
      <c r="H44" s="636" t="str">
        <f>'Step 3. FA Balance'!T107</f>
        <v/>
      </c>
      <c r="I44" s="636" t="str">
        <f>'Step 3. FA Balance'!U107</f>
        <v/>
      </c>
      <c r="J44" s="636" t="str">
        <f>'Step 3. FA Balance'!V107</f>
        <v/>
      </c>
      <c r="K44" s="636" t="str">
        <f>'Step 3. FA Balance'!W107</f>
        <v/>
      </c>
      <c r="L44" s="636" t="str">
        <f>'Step 3. FA Balance'!X107</f>
        <v/>
      </c>
      <c r="M44" s="639" t="str">
        <f>'Step 3. FA Balance'!Y107</f>
        <v/>
      </c>
    </row>
    <row r="45" spans="1:13" ht="15">
      <c r="A45" s="632">
        <f>Field4</f>
        <v>4</v>
      </c>
      <c r="B45" s="636" t="str">
        <f>'Step 3. FA Balance'!N109</f>
        <v/>
      </c>
      <c r="C45" s="636" t="str">
        <f>'Step 3. FA Balance'!O109</f>
        <v/>
      </c>
      <c r="D45" s="636" t="str">
        <f>'Step 3. FA Balance'!P109</f>
        <v/>
      </c>
      <c r="E45" s="636" t="str">
        <f>'Step 3. FA Balance'!Q109</f>
        <v/>
      </c>
      <c r="F45" s="636" t="str">
        <f>'Step 3. FA Balance'!R109</f>
        <v/>
      </c>
      <c r="G45" s="636" t="str">
        <f>'Step 3. FA Balance'!S109</f>
        <v/>
      </c>
      <c r="H45" s="636" t="str">
        <f>'Step 3. FA Balance'!T109</f>
        <v/>
      </c>
      <c r="I45" s="636" t="str">
        <f>'Step 3. FA Balance'!U109</f>
        <v/>
      </c>
      <c r="J45" s="636" t="str">
        <f>'Step 3. FA Balance'!V109</f>
        <v/>
      </c>
      <c r="K45" s="636" t="str">
        <f>'Step 3. FA Balance'!W109</f>
        <v/>
      </c>
      <c r="L45" s="636" t="str">
        <f>'Step 3. FA Balance'!X109</f>
        <v/>
      </c>
      <c r="M45" s="639" t="str">
        <f>'Step 3. FA Balance'!Y109</f>
        <v/>
      </c>
    </row>
    <row r="46" spans="1:13" ht="15">
      <c r="A46" s="632">
        <f>Field5</f>
        <v>5</v>
      </c>
      <c r="B46" s="636" t="str">
        <f>'Step 3. FA Balance'!N111</f>
        <v/>
      </c>
      <c r="C46" s="636" t="str">
        <f>'Step 3. FA Balance'!O111</f>
        <v/>
      </c>
      <c r="D46" s="636" t="str">
        <f>'Step 3. FA Balance'!P111</f>
        <v/>
      </c>
      <c r="E46" s="636" t="str">
        <f>'Step 3. FA Balance'!Q111</f>
        <v/>
      </c>
      <c r="F46" s="636" t="str">
        <f>'Step 3. FA Balance'!R111</f>
        <v/>
      </c>
      <c r="G46" s="636" t="str">
        <f>'Step 3. FA Balance'!S111</f>
        <v/>
      </c>
      <c r="H46" s="636" t="str">
        <f>'Step 3. FA Balance'!T111</f>
        <v/>
      </c>
      <c r="I46" s="636" t="str">
        <f>'Step 3. FA Balance'!U111</f>
        <v/>
      </c>
      <c r="J46" s="636" t="str">
        <f>'Step 3. FA Balance'!V111</f>
        <v/>
      </c>
      <c r="K46" s="636" t="str">
        <f>'Step 3. FA Balance'!W111</f>
        <v/>
      </c>
      <c r="L46" s="636" t="str">
        <f>'Step 3. FA Balance'!X111</f>
        <v/>
      </c>
      <c r="M46" s="639" t="str">
        <f>'Step 3. FA Balance'!Y111</f>
        <v/>
      </c>
    </row>
    <row r="47" spans="1:13" ht="15">
      <c r="A47" s="632">
        <f>Field6</f>
        <v>6</v>
      </c>
      <c r="B47" s="636" t="str">
        <f>'Step 3. FA Balance'!N113</f>
        <v/>
      </c>
      <c r="C47" s="636" t="str">
        <f>'Step 3. FA Balance'!O113</f>
        <v/>
      </c>
      <c r="D47" s="636" t="str">
        <f>'Step 3. FA Balance'!P113</f>
        <v/>
      </c>
      <c r="E47" s="636" t="str">
        <f>'Step 3. FA Balance'!Q113</f>
        <v/>
      </c>
      <c r="F47" s="636" t="str">
        <f>'Step 3. FA Balance'!R113</f>
        <v/>
      </c>
      <c r="G47" s="636" t="str">
        <f>'Step 3. FA Balance'!S113</f>
        <v/>
      </c>
      <c r="H47" s="636" t="str">
        <f>'Step 3. FA Balance'!T113</f>
        <v/>
      </c>
      <c r="I47" s="636" t="str">
        <f>'Step 3. FA Balance'!U113</f>
        <v/>
      </c>
      <c r="J47" s="636" t="str">
        <f>'Step 3. FA Balance'!V113</f>
        <v/>
      </c>
      <c r="K47" s="636" t="str">
        <f>'Step 3. FA Balance'!W113</f>
        <v/>
      </c>
      <c r="L47" s="636" t="str">
        <f>'Step 3. FA Balance'!X113</f>
        <v/>
      </c>
      <c r="M47" s="639" t="str">
        <f>'Step 3. FA Balance'!Y113</f>
        <v/>
      </c>
    </row>
    <row r="48" spans="1:13" ht="15">
      <c r="A48" s="632">
        <f>Field7</f>
        <v>7</v>
      </c>
      <c r="B48" s="636" t="str">
        <f>'Step 3. FA Balance'!N115</f>
        <v/>
      </c>
      <c r="C48" s="636" t="str">
        <f>'Step 3. FA Balance'!O115</f>
        <v/>
      </c>
      <c r="D48" s="636" t="str">
        <f>'Step 3. FA Balance'!P115</f>
        <v/>
      </c>
      <c r="E48" s="636" t="str">
        <f>'Step 3. FA Balance'!Q115</f>
        <v/>
      </c>
      <c r="F48" s="636" t="str">
        <f>'Step 3. FA Balance'!R115</f>
        <v/>
      </c>
      <c r="G48" s="636" t="str">
        <f>'Step 3. FA Balance'!S115</f>
        <v/>
      </c>
      <c r="H48" s="636" t="str">
        <f>'Step 3. FA Balance'!T115</f>
        <v/>
      </c>
      <c r="I48" s="636" t="str">
        <f>'Step 3. FA Balance'!U115</f>
        <v/>
      </c>
      <c r="J48" s="636" t="str">
        <f>'Step 3. FA Balance'!V115</f>
        <v/>
      </c>
      <c r="K48" s="636" t="str">
        <f>'Step 3. FA Balance'!W115</f>
        <v/>
      </c>
      <c r="L48" s="636" t="str">
        <f>'Step 3. FA Balance'!X115</f>
        <v/>
      </c>
      <c r="M48" s="639" t="str">
        <f>'Step 3. FA Balance'!Y115</f>
        <v/>
      </c>
    </row>
    <row r="49" spans="1:13" ht="15">
      <c r="A49" s="632">
        <f>Field8</f>
        <v>8</v>
      </c>
      <c r="B49" s="636" t="str">
        <f>'Step 3. FA Balance'!N117</f>
        <v/>
      </c>
      <c r="C49" s="636" t="str">
        <f>'Step 3. FA Balance'!O117</f>
        <v/>
      </c>
      <c r="D49" s="636" t="str">
        <f>'Step 3. FA Balance'!P117</f>
        <v/>
      </c>
      <c r="E49" s="636" t="str">
        <f>'Step 3. FA Balance'!Q117</f>
        <v/>
      </c>
      <c r="F49" s="636" t="str">
        <f>'Step 3. FA Balance'!R117</f>
        <v/>
      </c>
      <c r="G49" s="636" t="str">
        <f>'Step 3. FA Balance'!S117</f>
        <v/>
      </c>
      <c r="H49" s="636" t="str">
        <f>'Step 3. FA Balance'!T117</f>
        <v/>
      </c>
      <c r="I49" s="636" t="str">
        <f>'Step 3. FA Balance'!U117</f>
        <v/>
      </c>
      <c r="J49" s="636" t="str">
        <f>'Step 3. FA Balance'!V117</f>
        <v/>
      </c>
      <c r="K49" s="636" t="str">
        <f>'Step 3. FA Balance'!W117</f>
        <v/>
      </c>
      <c r="L49" s="636" t="str">
        <f>'Step 3. FA Balance'!X117</f>
        <v/>
      </c>
      <c r="M49" s="639" t="str">
        <f>'Step 3. FA Balance'!Y117</f>
        <v/>
      </c>
    </row>
    <row r="50" spans="1:13" ht="15">
      <c r="A50" s="632">
        <f>Field9</f>
        <v>9</v>
      </c>
      <c r="B50" s="636" t="str">
        <f>'Step 3. FA Balance'!N119</f>
        <v/>
      </c>
      <c r="C50" s="636" t="str">
        <f>'Step 3. FA Balance'!O119</f>
        <v/>
      </c>
      <c r="D50" s="636" t="str">
        <f>'Step 3. FA Balance'!P119</f>
        <v/>
      </c>
      <c r="E50" s="636" t="str">
        <f>'Step 3. FA Balance'!Q119</f>
        <v/>
      </c>
      <c r="F50" s="636" t="str">
        <f>'Step 3. FA Balance'!R119</f>
        <v/>
      </c>
      <c r="G50" s="636" t="str">
        <f>'Step 3. FA Balance'!S119</f>
        <v/>
      </c>
      <c r="H50" s="636" t="str">
        <f>'Step 3. FA Balance'!T119</f>
        <v/>
      </c>
      <c r="I50" s="636" t="str">
        <f>'Step 3. FA Balance'!U119</f>
        <v/>
      </c>
      <c r="J50" s="636" t="str">
        <f>'Step 3. FA Balance'!V119</f>
        <v/>
      </c>
      <c r="K50" s="636" t="str">
        <f>'Step 3. FA Balance'!W119</f>
        <v/>
      </c>
      <c r="L50" s="636" t="str">
        <f>'Step 3. FA Balance'!X119</f>
        <v/>
      </c>
      <c r="M50" s="639" t="str">
        <f>'Step 3. FA Balance'!Y119</f>
        <v/>
      </c>
    </row>
    <row r="51" spans="1:13" ht="15">
      <c r="A51" s="632">
        <f>Field10</f>
        <v>10</v>
      </c>
      <c r="B51" s="636" t="str">
        <f>'Step 3. FA Balance'!N121</f>
        <v/>
      </c>
      <c r="C51" s="636" t="str">
        <f>'Step 3. FA Balance'!O121</f>
        <v/>
      </c>
      <c r="D51" s="636" t="str">
        <f>'Step 3. FA Balance'!P121</f>
        <v/>
      </c>
      <c r="E51" s="636" t="str">
        <f>'Step 3. FA Balance'!Q121</f>
        <v/>
      </c>
      <c r="F51" s="636" t="str">
        <f>'Step 3. FA Balance'!R121</f>
        <v/>
      </c>
      <c r="G51" s="636" t="str">
        <f>'Step 3. FA Balance'!S121</f>
        <v/>
      </c>
      <c r="H51" s="636" t="str">
        <f>'Step 3. FA Balance'!T121</f>
        <v/>
      </c>
      <c r="I51" s="636" t="str">
        <f>'Step 3. FA Balance'!U121</f>
        <v/>
      </c>
      <c r="J51" s="636" t="str">
        <f>'Step 3. FA Balance'!V121</f>
        <v/>
      </c>
      <c r="K51" s="636" t="str">
        <f>'Step 3. FA Balance'!W121</f>
        <v/>
      </c>
      <c r="L51" s="636" t="str">
        <f>'Step 3. FA Balance'!X121</f>
        <v/>
      </c>
      <c r="M51" s="639" t="str">
        <f>'Step 3. FA Balance'!Y121</f>
        <v/>
      </c>
    </row>
    <row r="52" spans="1:13" ht="15">
      <c r="A52" s="632">
        <f>Field11</f>
        <v>11</v>
      </c>
      <c r="B52" s="636" t="str">
        <f>'Step 3. FA Balance'!N123</f>
        <v/>
      </c>
      <c r="C52" s="636" t="str">
        <f>'Step 3. FA Balance'!O123</f>
        <v/>
      </c>
      <c r="D52" s="636" t="str">
        <f>'Step 3. FA Balance'!P123</f>
        <v/>
      </c>
      <c r="E52" s="636" t="str">
        <f>'Step 3. FA Balance'!Q123</f>
        <v/>
      </c>
      <c r="F52" s="636" t="str">
        <f>'Step 3. FA Balance'!R123</f>
        <v/>
      </c>
      <c r="G52" s="636" t="str">
        <f>'Step 3. FA Balance'!S123</f>
        <v/>
      </c>
      <c r="H52" s="636" t="str">
        <f>'Step 3. FA Balance'!T123</f>
        <v/>
      </c>
      <c r="I52" s="636" t="str">
        <f>'Step 3. FA Balance'!U123</f>
        <v/>
      </c>
      <c r="J52" s="636" t="str">
        <f>'Step 3. FA Balance'!V123</f>
        <v/>
      </c>
      <c r="K52" s="636" t="str">
        <f>'Step 3. FA Balance'!W123</f>
        <v/>
      </c>
      <c r="L52" s="636" t="str">
        <f>'Step 3. FA Balance'!X123</f>
        <v/>
      </c>
      <c r="M52" s="639" t="str">
        <f>'Step 3. FA Balance'!Y123</f>
        <v/>
      </c>
    </row>
    <row r="53" spans="1:13" ht="15">
      <c r="A53" s="632">
        <f>Field12</f>
        <v>12</v>
      </c>
      <c r="B53" s="636" t="str">
        <f>'Step 3. FA Balance'!N125</f>
        <v/>
      </c>
      <c r="C53" s="636" t="str">
        <f>'Step 3. FA Balance'!O125</f>
        <v/>
      </c>
      <c r="D53" s="636" t="str">
        <f>'Step 3. FA Balance'!P125</f>
        <v/>
      </c>
      <c r="E53" s="636" t="str">
        <f>'Step 3. FA Balance'!Q125</f>
        <v/>
      </c>
      <c r="F53" s="636" t="str">
        <f>'Step 3. FA Balance'!R125</f>
        <v/>
      </c>
      <c r="G53" s="636" t="str">
        <f>'Step 3. FA Balance'!S125</f>
        <v/>
      </c>
      <c r="H53" s="636" t="str">
        <f>'Step 3. FA Balance'!T125</f>
        <v/>
      </c>
      <c r="I53" s="636" t="str">
        <f>'Step 3. FA Balance'!U125</f>
        <v/>
      </c>
      <c r="J53" s="636" t="str">
        <f>'Step 3. FA Balance'!V125</f>
        <v/>
      </c>
      <c r="K53" s="636" t="str">
        <f>'Step 3. FA Balance'!W125</f>
        <v/>
      </c>
      <c r="L53" s="636" t="str">
        <f>'Step 3. FA Balance'!X125</f>
        <v/>
      </c>
      <c r="M53" s="639" t="str">
        <f>'Step 3. FA Balance'!Y125</f>
        <v/>
      </c>
    </row>
    <row r="54" spans="1:13" ht="15">
      <c r="A54" s="632">
        <f>Field13</f>
        <v>13</v>
      </c>
      <c r="B54" s="636" t="str">
        <f>'Step 3. FA Balance'!N127</f>
        <v/>
      </c>
      <c r="C54" s="636" t="str">
        <f>'Step 3. FA Balance'!O127</f>
        <v/>
      </c>
      <c r="D54" s="636" t="str">
        <f>'Step 3. FA Balance'!P127</f>
        <v/>
      </c>
      <c r="E54" s="636" t="str">
        <f>'Step 3. FA Balance'!Q127</f>
        <v/>
      </c>
      <c r="F54" s="636" t="str">
        <f>'Step 3. FA Balance'!R127</f>
        <v/>
      </c>
      <c r="G54" s="636" t="str">
        <f>'Step 3. FA Balance'!S127</f>
        <v/>
      </c>
      <c r="H54" s="636" t="str">
        <f>'Step 3. FA Balance'!T127</f>
        <v/>
      </c>
      <c r="I54" s="636" t="str">
        <f>'Step 3. FA Balance'!U127</f>
        <v/>
      </c>
      <c r="J54" s="636" t="str">
        <f>'Step 3. FA Balance'!V127</f>
        <v/>
      </c>
      <c r="K54" s="636" t="str">
        <f>'Step 3. FA Balance'!W127</f>
        <v/>
      </c>
      <c r="L54" s="636" t="str">
        <f>'Step 3. FA Balance'!X127</f>
        <v/>
      </c>
      <c r="M54" s="639" t="str">
        <f>'Step 3. FA Balance'!Y127</f>
        <v/>
      </c>
    </row>
    <row r="55" spans="1:13" ht="15">
      <c r="A55" s="632">
        <f>Field14</f>
        <v>14</v>
      </c>
      <c r="B55" s="636" t="str">
        <f>'Step 3. FA Balance'!N129</f>
        <v/>
      </c>
      <c r="C55" s="636" t="str">
        <f>'Step 3. FA Balance'!O129</f>
        <v/>
      </c>
      <c r="D55" s="636" t="str">
        <f>'Step 3. FA Balance'!P129</f>
        <v/>
      </c>
      <c r="E55" s="636" t="str">
        <f>'Step 3. FA Balance'!Q129</f>
        <v/>
      </c>
      <c r="F55" s="636" t="str">
        <f>'Step 3. FA Balance'!R129</f>
        <v/>
      </c>
      <c r="G55" s="636" t="str">
        <f>'Step 3. FA Balance'!S129</f>
        <v/>
      </c>
      <c r="H55" s="636" t="str">
        <f>'Step 3. FA Balance'!T129</f>
        <v/>
      </c>
      <c r="I55" s="636" t="str">
        <f>'Step 3. FA Balance'!U129</f>
        <v/>
      </c>
      <c r="J55" s="636" t="str">
        <f>'Step 3. FA Balance'!V129</f>
        <v/>
      </c>
      <c r="K55" s="636" t="str">
        <f>'Step 3. FA Balance'!W129</f>
        <v/>
      </c>
      <c r="L55" s="636" t="str">
        <f>'Step 3. FA Balance'!X129</f>
        <v/>
      </c>
      <c r="M55" s="639" t="str">
        <f>'Step 3. FA Balance'!Y129</f>
        <v/>
      </c>
    </row>
    <row r="56" spans="1:13" ht="15">
      <c r="A56" s="632">
        <f>Field15</f>
        <v>15</v>
      </c>
      <c r="B56" s="636" t="str">
        <f>'Step 3. FA Balance'!N131</f>
        <v/>
      </c>
      <c r="C56" s="636" t="str">
        <f>'Step 3. FA Balance'!O131</f>
        <v/>
      </c>
      <c r="D56" s="636" t="str">
        <f>'Step 3. FA Balance'!P131</f>
        <v/>
      </c>
      <c r="E56" s="636" t="str">
        <f>'Step 3. FA Balance'!Q131</f>
        <v/>
      </c>
      <c r="F56" s="636" t="str">
        <f>'Step 3. FA Balance'!R131</f>
        <v/>
      </c>
      <c r="G56" s="636" t="str">
        <f>'Step 3. FA Balance'!S131</f>
        <v/>
      </c>
      <c r="H56" s="636" t="str">
        <f>'Step 3. FA Balance'!T131</f>
        <v/>
      </c>
      <c r="I56" s="636" t="str">
        <f>'Step 3. FA Balance'!U131</f>
        <v/>
      </c>
      <c r="J56" s="636" t="str">
        <f>'Step 3. FA Balance'!V131</f>
        <v/>
      </c>
      <c r="K56" s="636" t="str">
        <f>'Step 3. FA Balance'!W131</f>
        <v/>
      </c>
      <c r="L56" s="636" t="str">
        <f>'Step 3. FA Balance'!X131</f>
        <v/>
      </c>
      <c r="M56" s="639" t="str">
        <f>'Step 3. FA Balance'!Y131</f>
        <v/>
      </c>
    </row>
    <row r="57" spans="1:13" ht="15">
      <c r="A57" s="632">
        <f>Field16</f>
        <v>16</v>
      </c>
      <c r="B57" s="636" t="str">
        <f>'Step 3. FA Balance'!N133</f>
        <v/>
      </c>
      <c r="C57" s="636" t="str">
        <f>'Step 3. FA Balance'!O133</f>
        <v/>
      </c>
      <c r="D57" s="636" t="str">
        <f>'Step 3. FA Balance'!P133</f>
        <v/>
      </c>
      <c r="E57" s="636" t="str">
        <f>'Step 3. FA Balance'!Q133</f>
        <v/>
      </c>
      <c r="F57" s="636" t="str">
        <f>'Step 3. FA Balance'!R133</f>
        <v/>
      </c>
      <c r="G57" s="636" t="str">
        <f>'Step 3. FA Balance'!S133</f>
        <v/>
      </c>
      <c r="H57" s="636" t="str">
        <f>'Step 3. FA Balance'!T133</f>
        <v/>
      </c>
      <c r="I57" s="636" t="str">
        <f>'Step 3. FA Balance'!U133</f>
        <v/>
      </c>
      <c r="J57" s="636" t="str">
        <f>'Step 3. FA Balance'!V133</f>
        <v/>
      </c>
      <c r="K57" s="636" t="str">
        <f>'Step 3. FA Balance'!W133</f>
        <v/>
      </c>
      <c r="L57" s="636" t="str">
        <f>'Step 3. FA Balance'!X133</f>
        <v/>
      </c>
      <c r="M57" s="639" t="str">
        <f>'Step 3. FA Balance'!Y133</f>
        <v/>
      </c>
    </row>
    <row r="58" spans="1:13" ht="15">
      <c r="A58" s="632">
        <f>Field17</f>
        <v>17</v>
      </c>
      <c r="B58" s="636" t="str">
        <f>'Step 3. FA Balance'!N135</f>
        <v/>
      </c>
      <c r="C58" s="636" t="str">
        <f>'Step 3. FA Balance'!O135</f>
        <v/>
      </c>
      <c r="D58" s="636" t="str">
        <f>'Step 3. FA Balance'!P135</f>
        <v/>
      </c>
      <c r="E58" s="636" t="str">
        <f>'Step 3. FA Balance'!Q135</f>
        <v/>
      </c>
      <c r="F58" s="636" t="str">
        <f>'Step 3. FA Balance'!R135</f>
        <v/>
      </c>
      <c r="G58" s="636" t="str">
        <f>'Step 3. FA Balance'!S135</f>
        <v/>
      </c>
      <c r="H58" s="636" t="str">
        <f>'Step 3. FA Balance'!T135</f>
        <v/>
      </c>
      <c r="I58" s="636" t="str">
        <f>'Step 3. FA Balance'!U135</f>
        <v/>
      </c>
      <c r="J58" s="636" t="str">
        <f>'Step 3. FA Balance'!V135</f>
        <v/>
      </c>
      <c r="K58" s="636" t="str">
        <f>'Step 3. FA Balance'!W135</f>
        <v/>
      </c>
      <c r="L58" s="636" t="str">
        <f>'Step 3. FA Balance'!X135</f>
        <v/>
      </c>
      <c r="M58" s="639" t="str">
        <f>'Step 3. FA Balance'!Y135</f>
        <v/>
      </c>
    </row>
    <row r="59" spans="1:13" ht="15">
      <c r="A59" s="632">
        <f>Field18</f>
        <v>18</v>
      </c>
      <c r="B59" s="636" t="str">
        <f>'Step 3. FA Balance'!N137</f>
        <v/>
      </c>
      <c r="C59" s="636" t="str">
        <f>'Step 3. FA Balance'!O137</f>
        <v/>
      </c>
      <c r="D59" s="636" t="str">
        <f>'Step 3. FA Balance'!P137</f>
        <v/>
      </c>
      <c r="E59" s="636" t="str">
        <f>'Step 3. FA Balance'!Q137</f>
        <v/>
      </c>
      <c r="F59" s="636" t="str">
        <f>'Step 3. FA Balance'!R137</f>
        <v/>
      </c>
      <c r="G59" s="636" t="str">
        <f>'Step 3. FA Balance'!S137</f>
        <v/>
      </c>
      <c r="H59" s="636" t="str">
        <f>'Step 3. FA Balance'!T137</f>
        <v/>
      </c>
      <c r="I59" s="636" t="str">
        <f>'Step 3. FA Balance'!U137</f>
        <v/>
      </c>
      <c r="J59" s="636" t="str">
        <f>'Step 3. FA Balance'!V137</f>
        <v/>
      </c>
      <c r="K59" s="636" t="str">
        <f>'Step 3. FA Balance'!W137</f>
        <v/>
      </c>
      <c r="L59" s="636" t="str">
        <f>'Step 3. FA Balance'!X137</f>
        <v/>
      </c>
      <c r="M59" s="639" t="str">
        <f>'Step 3. FA Balance'!Y137</f>
        <v/>
      </c>
    </row>
    <row r="60" spans="1:13" ht="15">
      <c r="A60" s="632">
        <f>Field19</f>
        <v>19</v>
      </c>
      <c r="B60" s="636" t="str">
        <f>'Step 3. FA Balance'!N139</f>
        <v/>
      </c>
      <c r="C60" s="636" t="str">
        <f>'Step 3. FA Balance'!O139</f>
        <v/>
      </c>
      <c r="D60" s="636" t="str">
        <f>'Step 3. FA Balance'!P139</f>
        <v/>
      </c>
      <c r="E60" s="636" t="str">
        <f>'Step 3. FA Balance'!Q139</f>
        <v/>
      </c>
      <c r="F60" s="636" t="str">
        <f>'Step 3. FA Balance'!R139</f>
        <v/>
      </c>
      <c r="G60" s="636" t="str">
        <f>'Step 3. FA Balance'!S139</f>
        <v/>
      </c>
      <c r="H60" s="636" t="str">
        <f>'Step 3. FA Balance'!T139</f>
        <v/>
      </c>
      <c r="I60" s="636" t="str">
        <f>'Step 3. FA Balance'!U139</f>
        <v/>
      </c>
      <c r="J60" s="636" t="str">
        <f>'Step 3. FA Balance'!V139</f>
        <v/>
      </c>
      <c r="K60" s="636" t="str">
        <f>'Step 3. FA Balance'!W139</f>
        <v/>
      </c>
      <c r="L60" s="636" t="str">
        <f>'Step 3. FA Balance'!X139</f>
        <v/>
      </c>
      <c r="M60" s="639" t="str">
        <f>'Step 3. FA Balance'!Y139</f>
        <v/>
      </c>
    </row>
    <row r="61" spans="1:13" ht="15">
      <c r="A61" s="632">
        <f>Field20</f>
        <v>20</v>
      </c>
      <c r="B61" s="636" t="str">
        <f>'Step 3. FA Balance'!N141</f>
        <v/>
      </c>
      <c r="C61" s="636" t="str">
        <f>'Step 3. FA Balance'!O141</f>
        <v/>
      </c>
      <c r="D61" s="636" t="str">
        <f>'Step 3. FA Balance'!P141</f>
        <v/>
      </c>
      <c r="E61" s="636" t="str">
        <f>'Step 3. FA Balance'!Q141</f>
        <v/>
      </c>
      <c r="F61" s="636" t="str">
        <f>'Step 3. FA Balance'!R141</f>
        <v/>
      </c>
      <c r="G61" s="636" t="str">
        <f>'Step 3. FA Balance'!S141</f>
        <v/>
      </c>
      <c r="H61" s="636" t="str">
        <f>'Step 3. FA Balance'!T141</f>
        <v/>
      </c>
      <c r="I61" s="636" t="str">
        <f>'Step 3. FA Balance'!U141</f>
        <v/>
      </c>
      <c r="J61" s="636" t="str">
        <f>'Step 3. FA Balance'!V141</f>
        <v/>
      </c>
      <c r="K61" s="636" t="str">
        <f>'Step 3. FA Balance'!W141</f>
        <v/>
      </c>
      <c r="L61" s="636" t="str">
        <f>'Step 3. FA Balance'!X141</f>
        <v/>
      </c>
      <c r="M61" s="639" t="str">
        <f>'Step 3. FA Balance'!Y141</f>
        <v/>
      </c>
    </row>
    <row r="62" spans="1:13" ht="15">
      <c r="A62" s="632">
        <f>Field21</f>
        <v>21</v>
      </c>
      <c r="B62" s="636" t="str">
        <f>'Step 3. FA Balance'!N143</f>
        <v/>
      </c>
      <c r="C62" s="636" t="str">
        <f>'Step 3. FA Balance'!O143</f>
        <v/>
      </c>
      <c r="D62" s="636" t="str">
        <f>'Step 3. FA Balance'!P143</f>
        <v/>
      </c>
      <c r="E62" s="636" t="str">
        <f>'Step 3. FA Balance'!Q143</f>
        <v/>
      </c>
      <c r="F62" s="636" t="str">
        <f>'Step 3. FA Balance'!R143</f>
        <v/>
      </c>
      <c r="G62" s="636" t="str">
        <f>'Step 3. FA Balance'!S143</f>
        <v/>
      </c>
      <c r="H62" s="636" t="str">
        <f>'Step 3. FA Balance'!T143</f>
        <v/>
      </c>
      <c r="I62" s="636" t="str">
        <f>'Step 3. FA Balance'!U143</f>
        <v/>
      </c>
      <c r="J62" s="636" t="str">
        <f>'Step 3. FA Balance'!V143</f>
        <v/>
      </c>
      <c r="K62" s="636" t="str">
        <f>'Step 3. FA Balance'!W143</f>
        <v/>
      </c>
      <c r="L62" s="636" t="str">
        <f>'Step 3. FA Balance'!X143</f>
        <v/>
      </c>
      <c r="M62" s="639" t="str">
        <f>'Step 3. FA Balance'!Y143</f>
        <v/>
      </c>
    </row>
    <row r="63" spans="1:13" ht="15">
      <c r="A63" s="632">
        <f>Field22</f>
        <v>22</v>
      </c>
      <c r="B63" s="636" t="str">
        <f>'Step 3. FA Balance'!N145</f>
        <v/>
      </c>
      <c r="C63" s="636" t="str">
        <f>'Step 3. FA Balance'!O145</f>
        <v/>
      </c>
      <c r="D63" s="636" t="str">
        <f>'Step 3. FA Balance'!P145</f>
        <v/>
      </c>
      <c r="E63" s="636" t="str">
        <f>'Step 3. FA Balance'!Q145</f>
        <v/>
      </c>
      <c r="F63" s="636" t="str">
        <f>'Step 3. FA Balance'!R145</f>
        <v/>
      </c>
      <c r="G63" s="636" t="str">
        <f>'Step 3. FA Balance'!S145</f>
        <v/>
      </c>
      <c r="H63" s="636" t="str">
        <f>'Step 3. FA Balance'!T145</f>
        <v/>
      </c>
      <c r="I63" s="636" t="str">
        <f>'Step 3. FA Balance'!U145</f>
        <v/>
      </c>
      <c r="J63" s="636" t="str">
        <f>'Step 3. FA Balance'!V145</f>
        <v/>
      </c>
      <c r="K63" s="636" t="str">
        <f>'Step 3. FA Balance'!W145</f>
        <v/>
      </c>
      <c r="L63" s="636" t="str">
        <f>'Step 3. FA Balance'!X145</f>
        <v/>
      </c>
      <c r="M63" s="639" t="str">
        <f>'Step 3. FA Balance'!Y145</f>
        <v/>
      </c>
    </row>
    <row r="64" spans="1:13" ht="15">
      <c r="A64" s="632">
        <f>Field23</f>
        <v>23</v>
      </c>
      <c r="B64" s="636" t="str">
        <f>'Step 3. FA Balance'!N147</f>
        <v/>
      </c>
      <c r="C64" s="636" t="str">
        <f>'Step 3. FA Balance'!O147</f>
        <v/>
      </c>
      <c r="D64" s="636" t="str">
        <f>'Step 3. FA Balance'!P147</f>
        <v/>
      </c>
      <c r="E64" s="636" t="str">
        <f>'Step 3. FA Balance'!Q147</f>
        <v/>
      </c>
      <c r="F64" s="636" t="str">
        <f>'Step 3. FA Balance'!R147</f>
        <v/>
      </c>
      <c r="G64" s="636" t="str">
        <f>'Step 3. FA Balance'!S147</f>
        <v/>
      </c>
      <c r="H64" s="636" t="str">
        <f>'Step 3. FA Balance'!T147</f>
        <v/>
      </c>
      <c r="I64" s="636" t="str">
        <f>'Step 3. FA Balance'!U147</f>
        <v/>
      </c>
      <c r="J64" s="636" t="str">
        <f>'Step 3. FA Balance'!V147</f>
        <v/>
      </c>
      <c r="K64" s="636" t="str">
        <f>'Step 3. FA Balance'!W147</f>
        <v/>
      </c>
      <c r="L64" s="636" t="str">
        <f>'Step 3. FA Balance'!X147</f>
        <v/>
      </c>
      <c r="M64" s="639" t="str">
        <f>'Step 3. FA Balance'!Y147</f>
        <v/>
      </c>
    </row>
    <row r="65" spans="1:13" ht="15">
      <c r="A65" s="640">
        <f>Field24</f>
        <v>24</v>
      </c>
      <c r="B65" s="641" t="str">
        <f>'Step 3. FA Balance'!N149</f>
        <v/>
      </c>
      <c r="C65" s="641" t="str">
        <f>'Step 3. FA Balance'!O149</f>
        <v/>
      </c>
      <c r="D65" s="641" t="str">
        <f>'Step 3. FA Balance'!P149</f>
        <v/>
      </c>
      <c r="E65" s="641" t="str">
        <f>'Step 3. FA Balance'!Q149</f>
        <v/>
      </c>
      <c r="F65" s="641" t="str">
        <f>'Step 3. FA Balance'!R149</f>
        <v/>
      </c>
      <c r="G65" s="641" t="str">
        <f>'Step 3. FA Balance'!S149</f>
        <v/>
      </c>
      <c r="H65" s="641" t="str">
        <f>'Step 3. FA Balance'!T149</f>
        <v/>
      </c>
      <c r="I65" s="641" t="str">
        <f>'Step 3. FA Balance'!U149</f>
        <v/>
      </c>
      <c r="J65" s="641" t="str">
        <f>'Step 3. FA Balance'!V149</f>
        <v/>
      </c>
      <c r="K65" s="641" t="str">
        <f>'Step 3. FA Balance'!W149</f>
        <v/>
      </c>
      <c r="L65" s="641" t="str">
        <f>'Step 3. FA Balance'!X149</f>
        <v/>
      </c>
      <c r="M65" s="642" t="str">
        <f>'Step 3. FA Balance'!Y149</f>
        <v/>
      </c>
    </row>
    <row r="66" spans="1:13" ht="16" thickBot="1">
      <c r="A66" s="893" t="s">
        <v>285</v>
      </c>
      <c r="B66" s="643">
        <f>SUM(B42:B65)</f>
        <v>0</v>
      </c>
      <c r="C66" s="643">
        <f>SUM(C42:C65)</f>
        <v>0</v>
      </c>
      <c r="D66" s="643">
        <f t="shared" ref="D66:M66" si="0">SUM(D42:D65)</f>
        <v>0</v>
      </c>
      <c r="E66" s="643">
        <f t="shared" si="0"/>
        <v>0</v>
      </c>
      <c r="F66" s="643">
        <f t="shared" si="0"/>
        <v>0</v>
      </c>
      <c r="G66" s="643">
        <f t="shared" si="0"/>
        <v>0</v>
      </c>
      <c r="H66" s="643">
        <f t="shared" si="0"/>
        <v>0</v>
      </c>
      <c r="I66" s="643">
        <f t="shared" si="0"/>
        <v>0</v>
      </c>
      <c r="J66" s="643">
        <f t="shared" si="0"/>
        <v>0</v>
      </c>
      <c r="K66" s="643">
        <f t="shared" si="0"/>
        <v>0</v>
      </c>
      <c r="L66" s="643">
        <f t="shared" si="0"/>
        <v>0</v>
      </c>
      <c r="M66" s="663">
        <f t="shared" si="0"/>
        <v>0</v>
      </c>
    </row>
    <row r="67" spans="1:13" ht="15" thickBot="1"/>
    <row r="68" spans="1:13" ht="17" thickBot="1">
      <c r="A68" s="2596" t="s">
        <v>544</v>
      </c>
      <c r="B68" s="2597"/>
      <c r="C68" s="2597"/>
      <c r="D68" s="2597"/>
      <c r="E68" s="2597"/>
      <c r="F68" s="2597"/>
      <c r="G68" s="2597"/>
      <c r="H68" s="2598"/>
      <c r="I68" s="616"/>
      <c r="J68" s="616"/>
    </row>
    <row r="69" spans="1:13" ht="15">
      <c r="A69" s="613" t="s">
        <v>287</v>
      </c>
      <c r="B69" s="2568" t="s">
        <v>79</v>
      </c>
      <c r="C69" s="2569"/>
      <c r="D69" s="2599"/>
      <c r="E69" s="618"/>
      <c r="F69" s="2626" t="s">
        <v>626</v>
      </c>
      <c r="G69" s="553" t="s">
        <v>76</v>
      </c>
      <c r="H69" s="619" t="s">
        <v>86</v>
      </c>
      <c r="I69" s="644"/>
      <c r="J69" s="605"/>
      <c r="K69" s="605"/>
    </row>
    <row r="70" spans="1:13" ht="15">
      <c r="A70" s="614" t="s">
        <v>304</v>
      </c>
      <c r="B70" s="2600"/>
      <c r="C70" s="2601"/>
      <c r="D70" s="2602"/>
      <c r="E70" s="622" t="s">
        <v>63</v>
      </c>
      <c r="F70" s="2627"/>
      <c r="G70" s="622" t="s">
        <v>64</v>
      </c>
      <c r="H70" s="623" t="s">
        <v>77</v>
      </c>
      <c r="I70" s="645" t="s">
        <v>78</v>
      </c>
      <c r="J70" s="605"/>
      <c r="K70" s="605"/>
    </row>
    <row r="71" spans="1:13" ht="15">
      <c r="A71" s="615" t="s">
        <v>36</v>
      </c>
      <c r="B71" s="2603"/>
      <c r="C71" s="2604"/>
      <c r="D71" s="2605"/>
      <c r="E71" s="627" t="s">
        <v>80</v>
      </c>
      <c r="F71" s="628" t="s">
        <v>283</v>
      </c>
      <c r="G71" s="627" t="s">
        <v>81</v>
      </c>
      <c r="H71" s="628" t="s">
        <v>82</v>
      </c>
      <c r="I71" s="646" t="s">
        <v>81</v>
      </c>
      <c r="J71" s="605"/>
      <c r="K71" s="605"/>
    </row>
    <row r="72" spans="1:13" ht="15">
      <c r="A72" s="651">
        <f>AltField1</f>
        <v>0</v>
      </c>
      <c r="B72" s="2612">
        <f>'Step 3. FA Balance'!H199</f>
        <v>0</v>
      </c>
      <c r="C72" s="2613"/>
      <c r="D72" s="2614"/>
      <c r="E72" s="652">
        <f>AltAcres1</f>
        <v>0</v>
      </c>
      <c r="F72" s="653">
        <f>AltYield1</f>
        <v>0</v>
      </c>
      <c r="G72" s="653">
        <f>'Step 3. FA Balance'!K199</f>
        <v>0</v>
      </c>
      <c r="H72" s="653">
        <f>AltEff1</f>
        <v>0</v>
      </c>
      <c r="I72" s="654">
        <f>'Step 3. FA Balance'!M199</f>
        <v>0</v>
      </c>
      <c r="J72" s="611"/>
      <c r="K72" s="611"/>
    </row>
    <row r="73" spans="1:13" ht="15" hidden="1">
      <c r="A73" s="655">
        <f>AltField2</f>
        <v>0</v>
      </c>
      <c r="B73" s="2609">
        <f>'Step 3. FA Balance'!H200</f>
        <v>0</v>
      </c>
      <c r="C73" s="2610"/>
      <c r="D73" s="2611"/>
      <c r="E73" s="656">
        <f>AltAcres2</f>
        <v>0</v>
      </c>
      <c r="F73" s="657">
        <f>AltYield2</f>
        <v>0</v>
      </c>
      <c r="G73" s="657">
        <f>'Step 3. FA Balance'!K200</f>
        <v>0</v>
      </c>
      <c r="H73" s="657">
        <f>AltEff2</f>
        <v>0</v>
      </c>
      <c r="I73" s="658">
        <f>'Step 3. FA Balance'!M200</f>
        <v>0</v>
      </c>
      <c r="J73" s="611"/>
      <c r="K73" s="611"/>
    </row>
    <row r="74" spans="1:13" ht="15" hidden="1">
      <c r="A74" s="655">
        <f>AltField3</f>
        <v>0</v>
      </c>
      <c r="B74" s="2609">
        <f>'Step 3. FA Balance'!H201</f>
        <v>0</v>
      </c>
      <c r="C74" s="2610"/>
      <c r="D74" s="2611"/>
      <c r="E74" s="656">
        <f>AltAcres3</f>
        <v>0</v>
      </c>
      <c r="F74" s="657">
        <f>AltYield3</f>
        <v>0</v>
      </c>
      <c r="G74" s="657">
        <f>'Step 3. FA Balance'!K201</f>
        <v>0</v>
      </c>
      <c r="H74" s="657">
        <f>AltEff3</f>
        <v>0</v>
      </c>
      <c r="I74" s="658">
        <f>'Step 3. FA Balance'!M201</f>
        <v>0</v>
      </c>
      <c r="J74" s="611"/>
      <c r="K74" s="611"/>
    </row>
    <row r="75" spans="1:13" ht="15" hidden="1">
      <c r="A75" s="655">
        <f>AltField4</f>
        <v>0</v>
      </c>
      <c r="B75" s="2609">
        <f>'Step 3. FA Balance'!H202</f>
        <v>0</v>
      </c>
      <c r="C75" s="2610"/>
      <c r="D75" s="2611"/>
      <c r="E75" s="656">
        <f>AltAcres4</f>
        <v>0</v>
      </c>
      <c r="F75" s="657">
        <f>AltYield4</f>
        <v>0</v>
      </c>
      <c r="G75" s="657">
        <f>'Step 3. FA Balance'!K202</f>
        <v>0</v>
      </c>
      <c r="H75" s="657">
        <f>AltEff4</f>
        <v>0</v>
      </c>
      <c r="I75" s="658">
        <f>'Step 3. FA Balance'!M202</f>
        <v>0</v>
      </c>
      <c r="J75" s="611"/>
      <c r="K75" s="611"/>
    </row>
    <row r="76" spans="1:13" ht="15" hidden="1">
      <c r="A76" s="655">
        <f>AltField5</f>
        <v>0</v>
      </c>
      <c r="B76" s="2609">
        <f>'Step 3. FA Balance'!H203</f>
        <v>0</v>
      </c>
      <c r="C76" s="2610"/>
      <c r="D76" s="2611"/>
      <c r="E76" s="656">
        <f>AltAcres5</f>
        <v>0</v>
      </c>
      <c r="F76" s="657">
        <f>AltYield5</f>
        <v>0</v>
      </c>
      <c r="G76" s="657">
        <f>'Step 3. FA Balance'!K203</f>
        <v>0</v>
      </c>
      <c r="H76" s="657">
        <f>AltEff5</f>
        <v>0</v>
      </c>
      <c r="I76" s="658">
        <f>'Step 3. FA Balance'!M203</f>
        <v>0</v>
      </c>
      <c r="J76" s="611"/>
      <c r="K76" s="611"/>
    </row>
    <row r="77" spans="1:13" ht="15" hidden="1">
      <c r="A77" s="659">
        <f>AltField6</f>
        <v>0</v>
      </c>
      <c r="B77" s="2606">
        <f>'Step 3. FA Balance'!H204</f>
        <v>0</v>
      </c>
      <c r="C77" s="2607"/>
      <c r="D77" s="2608"/>
      <c r="E77" s="660">
        <f>AltAcres6</f>
        <v>0</v>
      </c>
      <c r="F77" s="661">
        <f>AltYield6</f>
        <v>0</v>
      </c>
      <c r="G77" s="661">
        <f>'Step 3. FA Balance'!K204</f>
        <v>0</v>
      </c>
      <c r="H77" s="661">
        <f>AltEff6</f>
        <v>0</v>
      </c>
      <c r="I77" s="662">
        <f>'Step 3. FA Balance'!M204</f>
        <v>0</v>
      </c>
      <c r="J77" s="611"/>
      <c r="K77" s="611"/>
    </row>
    <row r="78" spans="1:13" ht="16" thickBot="1">
      <c r="A78" s="2623" t="s">
        <v>285</v>
      </c>
      <c r="B78" s="2624"/>
      <c r="C78" s="2624"/>
      <c r="D78" s="2625"/>
      <c r="E78" s="649">
        <f>SUM(E72:E77)</f>
        <v>0</v>
      </c>
      <c r="F78" s="649">
        <f>SUM(F72:F77)</f>
        <v>0</v>
      </c>
      <c r="G78" s="649">
        <f>SUM(G72:G77)</f>
        <v>0</v>
      </c>
      <c r="H78" s="664"/>
      <c r="I78" s="650">
        <f>SUM(I72:I77)</f>
        <v>0</v>
      </c>
    </row>
    <row r="79" spans="1:13" ht="15" thickBot="1"/>
    <row r="80" spans="1:13" ht="15">
      <c r="A80" s="665" t="s">
        <v>287</v>
      </c>
      <c r="B80" s="2569" t="s">
        <v>383</v>
      </c>
      <c r="C80" s="2569"/>
      <c r="D80" s="2569"/>
      <c r="E80" s="2569"/>
      <c r="F80" s="2569"/>
      <c r="G80" s="2569"/>
      <c r="H80" s="2569"/>
      <c r="I80" s="2569"/>
      <c r="J80" s="2569"/>
      <c r="K80" s="2569"/>
      <c r="L80" s="2569"/>
      <c r="M80" s="2570"/>
    </row>
    <row r="81" spans="1:13" ht="15">
      <c r="A81" s="666" t="s">
        <v>304</v>
      </c>
      <c r="B81" s="2601"/>
      <c r="C81" s="2601"/>
      <c r="D81" s="2601"/>
      <c r="E81" s="2601"/>
      <c r="F81" s="2601"/>
      <c r="G81" s="2601"/>
      <c r="H81" s="2601"/>
      <c r="I81" s="2601"/>
      <c r="J81" s="2601"/>
      <c r="K81" s="2601"/>
      <c r="L81" s="2601"/>
      <c r="M81" s="2622"/>
    </row>
    <row r="82" spans="1:13">
      <c r="A82" s="667" t="s">
        <v>36</v>
      </c>
      <c r="B82" s="612" t="s">
        <v>276</v>
      </c>
      <c r="C82" s="612" t="s">
        <v>277</v>
      </c>
      <c r="D82" s="612" t="s">
        <v>88</v>
      </c>
      <c r="E82" s="612" t="s">
        <v>89</v>
      </c>
      <c r="F82" s="612" t="s">
        <v>39</v>
      </c>
      <c r="G82" s="612" t="s">
        <v>90</v>
      </c>
      <c r="H82" s="612" t="s">
        <v>91</v>
      </c>
      <c r="I82" s="612" t="s">
        <v>92</v>
      </c>
      <c r="J82" s="612" t="s">
        <v>93</v>
      </c>
      <c r="K82" s="612" t="s">
        <v>94</v>
      </c>
      <c r="L82" s="612" t="s">
        <v>95</v>
      </c>
      <c r="M82" s="612" t="s">
        <v>96</v>
      </c>
    </row>
    <row r="83" spans="1:13" ht="15">
      <c r="A83" s="668">
        <f>AltField1</f>
        <v>0</v>
      </c>
      <c r="B83" s="567" t="str">
        <f>'Step 3. FA Balance'!N199</f>
        <v/>
      </c>
      <c r="C83" s="567" t="str">
        <f>'Step 3. FA Balance'!O199</f>
        <v/>
      </c>
      <c r="D83" s="567" t="str">
        <f>'Step 3. FA Balance'!P199</f>
        <v/>
      </c>
      <c r="E83" s="567" t="str">
        <f>'Step 3. FA Balance'!Q199</f>
        <v/>
      </c>
      <c r="F83" s="567" t="str">
        <f>'Step 3. FA Balance'!R199</f>
        <v/>
      </c>
      <c r="G83" s="567" t="str">
        <f>'Step 3. FA Balance'!S199</f>
        <v/>
      </c>
      <c r="H83" s="567" t="str">
        <f>'Step 3. FA Balance'!T199</f>
        <v/>
      </c>
      <c r="I83" s="567" t="str">
        <f>'Step 3. FA Balance'!U199</f>
        <v/>
      </c>
      <c r="J83" s="567" t="str">
        <f>'Step 3. FA Balance'!V199</f>
        <v/>
      </c>
      <c r="K83" s="567" t="str">
        <f>'Step 3. FA Balance'!W199</f>
        <v/>
      </c>
      <c r="L83" s="567" t="str">
        <f>'Step 3. FA Balance'!X199</f>
        <v/>
      </c>
      <c r="M83" s="669" t="str">
        <f>'Step 3. FA Balance'!Y199</f>
        <v/>
      </c>
    </row>
    <row r="84" spans="1:13" ht="15" hidden="1">
      <c r="A84" s="670">
        <f>AltField2</f>
        <v>0</v>
      </c>
      <c r="B84" s="568" t="str">
        <f>'Step 3. FA Balance'!N200</f>
        <v/>
      </c>
      <c r="C84" s="568" t="str">
        <f>'Step 3. FA Balance'!O200</f>
        <v/>
      </c>
      <c r="D84" s="568" t="str">
        <f>'Step 3. FA Balance'!P200</f>
        <v/>
      </c>
      <c r="E84" s="568" t="str">
        <f>'Step 3. FA Balance'!Q200</f>
        <v/>
      </c>
      <c r="F84" s="568" t="str">
        <f>'Step 3. FA Balance'!R200</f>
        <v/>
      </c>
      <c r="G84" s="568" t="str">
        <f>'Step 3. FA Balance'!S200</f>
        <v/>
      </c>
      <c r="H84" s="568" t="str">
        <f>'Step 3. FA Balance'!T200</f>
        <v/>
      </c>
      <c r="I84" s="568" t="str">
        <f>'Step 3. FA Balance'!U200</f>
        <v/>
      </c>
      <c r="J84" s="568" t="str">
        <f>'Step 3. FA Balance'!V200</f>
        <v/>
      </c>
      <c r="K84" s="568" t="str">
        <f>'Step 3. FA Balance'!W200</f>
        <v/>
      </c>
      <c r="L84" s="568" t="str">
        <f>'Step 3. FA Balance'!X200</f>
        <v/>
      </c>
      <c r="M84" s="669" t="str">
        <f>'Step 3. FA Balance'!Y200</f>
        <v/>
      </c>
    </row>
    <row r="85" spans="1:13" ht="15" hidden="1">
      <c r="A85" s="670">
        <f>AltField3</f>
        <v>0</v>
      </c>
      <c r="B85" s="568" t="str">
        <f>'Step 3. FA Balance'!N201</f>
        <v/>
      </c>
      <c r="C85" s="568" t="str">
        <f>'Step 3. FA Balance'!O201</f>
        <v/>
      </c>
      <c r="D85" s="568" t="str">
        <f>'Step 3. FA Balance'!P201</f>
        <v/>
      </c>
      <c r="E85" s="568" t="str">
        <f>'Step 3. FA Balance'!Q201</f>
        <v/>
      </c>
      <c r="F85" s="568" t="str">
        <f>'Step 3. FA Balance'!R201</f>
        <v/>
      </c>
      <c r="G85" s="568" t="str">
        <f>'Step 3. FA Balance'!S201</f>
        <v/>
      </c>
      <c r="H85" s="568" t="str">
        <f>'Step 3. FA Balance'!T201</f>
        <v/>
      </c>
      <c r="I85" s="568" t="str">
        <f>'Step 3. FA Balance'!U201</f>
        <v/>
      </c>
      <c r="J85" s="568" t="str">
        <f>'Step 3. FA Balance'!V201</f>
        <v/>
      </c>
      <c r="K85" s="568" t="str">
        <f>'Step 3. FA Balance'!W201</f>
        <v/>
      </c>
      <c r="L85" s="568" t="str">
        <f>'Step 3. FA Balance'!X201</f>
        <v/>
      </c>
      <c r="M85" s="669" t="str">
        <f>'Step 3. FA Balance'!Y201</f>
        <v/>
      </c>
    </row>
    <row r="86" spans="1:13" ht="15" hidden="1">
      <c r="A86" s="670">
        <f>AltField4</f>
        <v>0</v>
      </c>
      <c r="B86" s="568" t="str">
        <f>'Step 3. FA Balance'!N202</f>
        <v/>
      </c>
      <c r="C86" s="568" t="str">
        <f>'Step 3. FA Balance'!O202</f>
        <v/>
      </c>
      <c r="D86" s="568" t="str">
        <f>'Step 3. FA Balance'!P202</f>
        <v/>
      </c>
      <c r="E86" s="568" t="str">
        <f>'Step 3. FA Balance'!Q202</f>
        <v/>
      </c>
      <c r="F86" s="568" t="str">
        <f>'Step 3. FA Balance'!R202</f>
        <v/>
      </c>
      <c r="G86" s="568" t="str">
        <f>'Step 3. FA Balance'!S202</f>
        <v/>
      </c>
      <c r="H86" s="568" t="str">
        <f>'Step 3. FA Balance'!T202</f>
        <v/>
      </c>
      <c r="I86" s="568" t="str">
        <f>'Step 3. FA Balance'!U202</f>
        <v/>
      </c>
      <c r="J86" s="568" t="str">
        <f>'Step 3. FA Balance'!V202</f>
        <v/>
      </c>
      <c r="K86" s="568" t="str">
        <f>'Step 3. FA Balance'!W202</f>
        <v/>
      </c>
      <c r="L86" s="568" t="str">
        <f>'Step 3. FA Balance'!X202</f>
        <v/>
      </c>
      <c r="M86" s="669" t="str">
        <f>'Step 3. FA Balance'!Y202</f>
        <v/>
      </c>
    </row>
    <row r="87" spans="1:13" ht="15" hidden="1">
      <c r="A87" s="670">
        <f>AltField5</f>
        <v>0</v>
      </c>
      <c r="B87" s="568" t="str">
        <f>'Step 3. FA Balance'!N203</f>
        <v/>
      </c>
      <c r="C87" s="568" t="str">
        <f>'Step 3. FA Balance'!O203</f>
        <v/>
      </c>
      <c r="D87" s="568" t="str">
        <f>'Step 3. FA Balance'!P203</f>
        <v/>
      </c>
      <c r="E87" s="568" t="str">
        <f>'Step 3. FA Balance'!Q203</f>
        <v/>
      </c>
      <c r="F87" s="568" t="str">
        <f>'Step 3. FA Balance'!R203</f>
        <v/>
      </c>
      <c r="G87" s="568" t="str">
        <f>'Step 3. FA Balance'!S203</f>
        <v/>
      </c>
      <c r="H87" s="568" t="str">
        <f>'Step 3. FA Balance'!T203</f>
        <v/>
      </c>
      <c r="I87" s="568" t="str">
        <f>'Step 3. FA Balance'!U203</f>
        <v/>
      </c>
      <c r="J87" s="568" t="str">
        <f>'Step 3. FA Balance'!V203</f>
        <v/>
      </c>
      <c r="K87" s="568" t="str">
        <f>'Step 3. FA Balance'!W203</f>
        <v/>
      </c>
      <c r="L87" s="568" t="str">
        <f>'Step 3. FA Balance'!X203</f>
        <v/>
      </c>
      <c r="M87" s="669" t="str">
        <f>'Step 3. FA Balance'!Y203</f>
        <v/>
      </c>
    </row>
    <row r="88" spans="1:13" ht="15" hidden="1">
      <c r="A88" s="671">
        <f>AltField6</f>
        <v>0</v>
      </c>
      <c r="B88" s="582" t="str">
        <f>'Step 3. FA Balance'!N204</f>
        <v/>
      </c>
      <c r="C88" s="582" t="str">
        <f>'Step 3. FA Balance'!O204</f>
        <v/>
      </c>
      <c r="D88" s="582" t="str">
        <f>'Step 3. FA Balance'!P204</f>
        <v/>
      </c>
      <c r="E88" s="582" t="str">
        <f>'Step 3. FA Balance'!Q204</f>
        <v/>
      </c>
      <c r="F88" s="582" t="str">
        <f>'Step 3. FA Balance'!R204</f>
        <v/>
      </c>
      <c r="G88" s="582" t="str">
        <f>'Step 3. FA Balance'!S204</f>
        <v/>
      </c>
      <c r="H88" s="582" t="str">
        <f>'Step 3. FA Balance'!T204</f>
        <v/>
      </c>
      <c r="I88" s="582" t="str">
        <f>'Step 3. FA Balance'!U204</f>
        <v/>
      </c>
      <c r="J88" s="582" t="str">
        <f>'Step 3. FA Balance'!V204</f>
        <v/>
      </c>
      <c r="K88" s="582" t="str">
        <f>'Step 3. FA Balance'!W204</f>
        <v/>
      </c>
      <c r="L88" s="582" t="str">
        <f>'Step 3. FA Balance'!X204</f>
        <v/>
      </c>
      <c r="M88" s="672" t="str">
        <f>'Step 3. FA Balance'!Y204</f>
        <v/>
      </c>
    </row>
    <row r="89" spans="1:13" ht="16" thickBot="1">
      <c r="A89" s="894" t="s">
        <v>285</v>
      </c>
      <c r="B89" s="673">
        <f>SUM(B83:B88)</f>
        <v>0</v>
      </c>
      <c r="C89" s="674">
        <f t="shared" ref="C89:M89" si="1">SUM(C83:C88)</f>
        <v>0</v>
      </c>
      <c r="D89" s="673">
        <f t="shared" si="1"/>
        <v>0</v>
      </c>
      <c r="E89" s="673">
        <f t="shared" si="1"/>
        <v>0</v>
      </c>
      <c r="F89" s="673">
        <f t="shared" si="1"/>
        <v>0</v>
      </c>
      <c r="G89" s="673">
        <f t="shared" si="1"/>
        <v>0</v>
      </c>
      <c r="H89" s="673">
        <f t="shared" si="1"/>
        <v>0</v>
      </c>
      <c r="I89" s="673">
        <f t="shared" si="1"/>
        <v>0</v>
      </c>
      <c r="J89" s="673">
        <f t="shared" si="1"/>
        <v>0</v>
      </c>
      <c r="K89" s="673">
        <f t="shared" si="1"/>
        <v>0</v>
      </c>
      <c r="L89" s="673">
        <f t="shared" si="1"/>
        <v>0</v>
      </c>
      <c r="M89" s="675">
        <f t="shared" si="1"/>
        <v>0</v>
      </c>
    </row>
  </sheetData>
  <mergeCells count="42">
    <mergeCell ref="F7:F8"/>
    <mergeCell ref="A2:C2"/>
    <mergeCell ref="B39:M40"/>
    <mergeCell ref="B7:D9"/>
    <mergeCell ref="B10:D10"/>
    <mergeCell ref="B21:D21"/>
    <mergeCell ref="B20:D20"/>
    <mergeCell ref="B19:D19"/>
    <mergeCell ref="B18:D18"/>
    <mergeCell ref="B17:D17"/>
    <mergeCell ref="B16:D16"/>
    <mergeCell ref="B15:D15"/>
    <mergeCell ref="B25:D25"/>
    <mergeCell ref="B24:D24"/>
    <mergeCell ref="B23:D23"/>
    <mergeCell ref="B22:D22"/>
    <mergeCell ref="B80:M81"/>
    <mergeCell ref="A78:D78"/>
    <mergeCell ref="F69:F70"/>
    <mergeCell ref="A68:H68"/>
    <mergeCell ref="A36:J37"/>
    <mergeCell ref="B30:D30"/>
    <mergeCell ref="B29:D29"/>
    <mergeCell ref="B28:D28"/>
    <mergeCell ref="B27:D27"/>
    <mergeCell ref="B26:D26"/>
    <mergeCell ref="A6:K6"/>
    <mergeCell ref="B69:D71"/>
    <mergeCell ref="B77:D77"/>
    <mergeCell ref="B76:D76"/>
    <mergeCell ref="B75:D75"/>
    <mergeCell ref="B74:D74"/>
    <mergeCell ref="B73:D73"/>
    <mergeCell ref="B72:D72"/>
    <mergeCell ref="A34:D34"/>
    <mergeCell ref="B14:D14"/>
    <mergeCell ref="B13:D13"/>
    <mergeCell ref="B12:D12"/>
    <mergeCell ref="B11:D11"/>
    <mergeCell ref="B33:D33"/>
    <mergeCell ref="B32:D32"/>
    <mergeCell ref="B31:D31"/>
  </mergeCells>
  <printOptions horizontalCentered="1"/>
  <pageMargins left="0.2" right="0.2" top="0.5" bottom="0.5" header="0.3" footer="0.3"/>
  <pageSetup orientation="landscape" r:id="rId1"/>
  <rowBreaks count="2" manualBreakCount="2">
    <brk id="37" max="12" man="1"/>
    <brk id="66" max="12"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1464-DBC4-4FF7-8AC6-74034B6C7D52}">
  <sheetPr codeName="Sheet14">
    <pageSetUpPr fitToPage="1"/>
  </sheetPr>
  <dimension ref="A1:N42"/>
  <sheetViews>
    <sheetView workbookViewId="0"/>
  </sheetViews>
  <sheetFormatPr baseColWidth="10" defaultColWidth="8.83203125" defaultRowHeight="14"/>
  <cols>
    <col min="1" max="1" width="29.83203125" customWidth="1"/>
  </cols>
  <sheetData>
    <row r="1" spans="1:14" ht="16">
      <c r="A1" s="15" t="s">
        <v>555</v>
      </c>
    </row>
    <row r="2" spans="1:14" ht="16">
      <c r="A2" s="4">
        <f>Name</f>
        <v>0</v>
      </c>
    </row>
    <row r="3" spans="1:14" ht="16">
      <c r="A3" s="4">
        <f>ID</f>
        <v>0</v>
      </c>
    </row>
    <row r="4" spans="1:14" ht="16">
      <c r="A4" s="4">
        <f>Date</f>
        <v>0</v>
      </c>
    </row>
    <row r="5" spans="1:14" ht="15" thickBot="1"/>
    <row r="6" spans="1:14" ht="16">
      <c r="A6" s="450"/>
      <c r="B6" s="676" t="s">
        <v>285</v>
      </c>
      <c r="C6" s="677" t="s">
        <v>38</v>
      </c>
      <c r="D6" s="677" t="s">
        <v>39</v>
      </c>
      <c r="E6" s="677" t="s">
        <v>40</v>
      </c>
      <c r="F6" s="677" t="s">
        <v>41</v>
      </c>
      <c r="G6" s="677" t="s">
        <v>42</v>
      </c>
      <c r="H6" s="677" t="s">
        <v>43</v>
      </c>
      <c r="I6" s="677" t="s">
        <v>44</v>
      </c>
      <c r="J6" s="677" t="s">
        <v>45</v>
      </c>
      <c r="K6" s="677" t="s">
        <v>46</v>
      </c>
      <c r="L6" s="677" t="s">
        <v>47</v>
      </c>
      <c r="M6" s="677" t="s">
        <v>48</v>
      </c>
      <c r="N6" s="678" t="s">
        <v>49</v>
      </c>
    </row>
    <row r="7" spans="1:14" ht="16">
      <c r="A7" s="679" t="s">
        <v>633</v>
      </c>
      <c r="B7" s="680"/>
      <c r="C7" s="680"/>
      <c r="D7" s="680"/>
      <c r="E7" s="680"/>
      <c r="F7" s="680"/>
      <c r="G7" s="680"/>
      <c r="H7" s="680"/>
      <c r="I7" s="680"/>
      <c r="J7" s="680"/>
      <c r="K7" s="680"/>
      <c r="L7" s="680"/>
      <c r="M7" s="680"/>
      <c r="N7" s="681"/>
    </row>
    <row r="8" spans="1:14" ht="15">
      <c r="A8" s="682" t="s">
        <v>634</v>
      </c>
      <c r="B8" s="636">
        <f>'Step 3. FA Balance'!M229</f>
        <v>0</v>
      </c>
      <c r="C8" s="636">
        <f>'Step 3. FA Balance'!N229</f>
        <v>0</v>
      </c>
      <c r="D8" s="636">
        <f>'Step 3. FA Balance'!O229</f>
        <v>0</v>
      </c>
      <c r="E8" s="636">
        <f>'Step 3. FA Balance'!P229</f>
        <v>0</v>
      </c>
      <c r="F8" s="636">
        <f>'Step 3. FA Balance'!Q229</f>
        <v>0</v>
      </c>
      <c r="G8" s="636">
        <f>'Step 3. FA Balance'!R229</f>
        <v>0</v>
      </c>
      <c r="H8" s="636">
        <f>'Step 3. FA Balance'!S229</f>
        <v>0</v>
      </c>
      <c r="I8" s="636">
        <f>'Step 3. FA Balance'!T229</f>
        <v>0</v>
      </c>
      <c r="J8" s="636">
        <f>'Step 3. FA Balance'!U229</f>
        <v>0</v>
      </c>
      <c r="K8" s="636">
        <f>'Step 3. FA Balance'!V229</f>
        <v>0</v>
      </c>
      <c r="L8" s="636">
        <f>'Step 3. FA Balance'!W229</f>
        <v>0</v>
      </c>
      <c r="M8" s="636">
        <f>'Step 3. FA Balance'!X229</f>
        <v>0</v>
      </c>
      <c r="N8" s="639">
        <f>'Step 3. FA Balance'!Y229</f>
        <v>0</v>
      </c>
    </row>
    <row r="9" spans="1:14" ht="15">
      <c r="A9" s="682" t="s">
        <v>635</v>
      </c>
      <c r="B9" s="636">
        <f>'Step 3. FA Balance'!M230</f>
        <v>0</v>
      </c>
      <c r="C9" s="636">
        <f>'Step 3. FA Balance'!N230</f>
        <v>0</v>
      </c>
      <c r="D9" s="636">
        <f>'Step 3. FA Balance'!O230</f>
        <v>0</v>
      </c>
      <c r="E9" s="636">
        <f>'Step 3. FA Balance'!P230</f>
        <v>0</v>
      </c>
      <c r="F9" s="636">
        <f>'Step 3. FA Balance'!Q230</f>
        <v>0</v>
      </c>
      <c r="G9" s="636">
        <f>'Step 3. FA Balance'!R230</f>
        <v>0</v>
      </c>
      <c r="H9" s="636">
        <f>'Step 3. FA Balance'!S230</f>
        <v>0</v>
      </c>
      <c r="I9" s="636">
        <f>'Step 3. FA Balance'!T230</f>
        <v>0</v>
      </c>
      <c r="J9" s="636">
        <f>'Step 3. FA Balance'!U230</f>
        <v>0</v>
      </c>
      <c r="K9" s="636">
        <f>'Step 3. FA Balance'!V230</f>
        <v>0</v>
      </c>
      <c r="L9" s="636">
        <f>'Step 3. FA Balance'!W230</f>
        <v>0</v>
      </c>
      <c r="M9" s="636">
        <f>'Step 3. FA Balance'!X230</f>
        <v>0</v>
      </c>
      <c r="N9" s="639">
        <f>'Step 3. FA Balance'!Y230</f>
        <v>0</v>
      </c>
    </row>
    <row r="10" spans="1:14" ht="15">
      <c r="A10" s="682" t="s">
        <v>636</v>
      </c>
      <c r="B10" s="636">
        <f>'Step 3. FA Balance'!M231</f>
        <v>0</v>
      </c>
      <c r="C10" s="636">
        <f>'Step 3. FA Balance'!N231</f>
        <v>0</v>
      </c>
      <c r="D10" s="636">
        <f>'Step 3. FA Balance'!O231</f>
        <v>0</v>
      </c>
      <c r="E10" s="636">
        <f>'Step 3. FA Balance'!P231</f>
        <v>0</v>
      </c>
      <c r="F10" s="636">
        <f>'Step 3. FA Balance'!Q231</f>
        <v>0</v>
      </c>
      <c r="G10" s="636">
        <f>'Step 3. FA Balance'!R231</f>
        <v>0</v>
      </c>
      <c r="H10" s="636">
        <f>'Step 3. FA Balance'!S231</f>
        <v>0</v>
      </c>
      <c r="I10" s="636">
        <f>'Step 3. FA Balance'!T231</f>
        <v>0</v>
      </c>
      <c r="J10" s="636">
        <f>'Step 3. FA Balance'!U231</f>
        <v>0</v>
      </c>
      <c r="K10" s="636">
        <f>'Step 3. FA Balance'!V231</f>
        <v>0</v>
      </c>
      <c r="L10" s="636">
        <f>'Step 3. FA Balance'!W231</f>
        <v>0</v>
      </c>
      <c r="M10" s="636">
        <f>'Step 3. FA Balance'!X231</f>
        <v>0</v>
      </c>
      <c r="N10" s="639">
        <f>'Step 3. FA Balance'!Y231</f>
        <v>0</v>
      </c>
    </row>
    <row r="11" spans="1:14" ht="15">
      <c r="A11" s="2641" t="s">
        <v>637</v>
      </c>
      <c r="B11" s="2642"/>
      <c r="C11" s="636">
        <f>'Step 3. FA Balance'!N232</f>
        <v>0</v>
      </c>
      <c r="D11" s="636">
        <f>'Step 3. FA Balance'!O232</f>
        <v>0</v>
      </c>
      <c r="E11" s="636">
        <f>'Step 3. FA Balance'!P232</f>
        <v>0</v>
      </c>
      <c r="F11" s="636">
        <f>'Step 3. FA Balance'!Q232</f>
        <v>0</v>
      </c>
      <c r="G11" s="636">
        <f>'Step 3. FA Balance'!R232</f>
        <v>0</v>
      </c>
      <c r="H11" s="636">
        <f>'Step 3. FA Balance'!S232</f>
        <v>0</v>
      </c>
      <c r="I11" s="636">
        <f>'Step 3. FA Balance'!T232</f>
        <v>0</v>
      </c>
      <c r="J11" s="636">
        <f>'Step 3. FA Balance'!U232</f>
        <v>0</v>
      </c>
      <c r="K11" s="636">
        <f>'Step 3. FA Balance'!V232</f>
        <v>0</v>
      </c>
      <c r="L11" s="636">
        <f>'Step 3. FA Balance'!W232</f>
        <v>0</v>
      </c>
      <c r="M11" s="636">
        <f>'Step 3. FA Balance'!X232</f>
        <v>0</v>
      </c>
      <c r="N11" s="639">
        <f>'Step 3. FA Balance'!Y232</f>
        <v>0</v>
      </c>
    </row>
    <row r="12" spans="1:14" ht="15">
      <c r="A12" s="686"/>
      <c r="B12" s="641"/>
      <c r="C12" s="641"/>
      <c r="D12" s="641"/>
      <c r="E12" s="641"/>
      <c r="F12" s="641"/>
      <c r="G12" s="641"/>
      <c r="H12" s="641"/>
      <c r="I12" s="641"/>
      <c r="J12" s="641"/>
      <c r="K12" s="641"/>
      <c r="L12" s="641"/>
      <c r="M12" s="641"/>
      <c r="N12" s="642"/>
    </row>
    <row r="13" spans="1:14" ht="16">
      <c r="A13" s="679" t="s">
        <v>345</v>
      </c>
      <c r="B13" s="636"/>
      <c r="C13" s="636"/>
      <c r="D13" s="636"/>
      <c r="E13" s="636"/>
      <c r="F13" s="636"/>
      <c r="G13" s="636"/>
      <c r="H13" s="636"/>
      <c r="I13" s="636"/>
      <c r="J13" s="636"/>
      <c r="K13" s="636"/>
      <c r="L13" s="636"/>
      <c r="M13" s="636"/>
      <c r="N13" s="639"/>
    </row>
    <row r="14" spans="1:14" ht="15">
      <c r="A14" s="682" t="s">
        <v>634</v>
      </c>
      <c r="B14" s="636">
        <f>'Step 3. FA Balance'!M234</f>
        <v>0</v>
      </c>
      <c r="C14" s="636">
        <f>'Step 3. FA Balance'!N234</f>
        <v>0</v>
      </c>
      <c r="D14" s="636">
        <f>'Step 3. FA Balance'!O234</f>
        <v>0</v>
      </c>
      <c r="E14" s="636">
        <f>'Step 3. FA Balance'!P234</f>
        <v>0</v>
      </c>
      <c r="F14" s="636">
        <f>'Step 3. FA Balance'!Q234</f>
        <v>0</v>
      </c>
      <c r="G14" s="636">
        <f>'Step 3. FA Balance'!R234</f>
        <v>0</v>
      </c>
      <c r="H14" s="636">
        <f>'Step 3. FA Balance'!S234</f>
        <v>0</v>
      </c>
      <c r="I14" s="636">
        <f>'Step 3. FA Balance'!T234</f>
        <v>0</v>
      </c>
      <c r="J14" s="636">
        <f>'Step 3. FA Balance'!U234</f>
        <v>0</v>
      </c>
      <c r="K14" s="636">
        <f>'Step 3. FA Balance'!V234</f>
        <v>0</v>
      </c>
      <c r="L14" s="636">
        <f>'Step 3. FA Balance'!W234</f>
        <v>0</v>
      </c>
      <c r="M14" s="636">
        <f>'Step 3. FA Balance'!X234</f>
        <v>0</v>
      </c>
      <c r="N14" s="639">
        <f>'Step 3. FA Balance'!Y234</f>
        <v>0</v>
      </c>
    </row>
    <row r="15" spans="1:14" ht="15">
      <c r="A15" s="682" t="s">
        <v>635</v>
      </c>
      <c r="B15" s="636">
        <f>'Step 3. FA Balance'!M235</f>
        <v>0</v>
      </c>
      <c r="C15" s="636">
        <f>'Step 3. FA Balance'!N235</f>
        <v>0</v>
      </c>
      <c r="D15" s="636">
        <f>'Step 3. FA Balance'!O235</f>
        <v>0</v>
      </c>
      <c r="E15" s="636">
        <f>'Step 3. FA Balance'!P235</f>
        <v>0</v>
      </c>
      <c r="F15" s="636">
        <f>'Step 3. FA Balance'!Q235</f>
        <v>0</v>
      </c>
      <c r="G15" s="636">
        <f>'Step 3. FA Balance'!R235</f>
        <v>0</v>
      </c>
      <c r="H15" s="636">
        <f>'Step 3. FA Balance'!S235</f>
        <v>0</v>
      </c>
      <c r="I15" s="636">
        <f>'Step 3. FA Balance'!T235</f>
        <v>0</v>
      </c>
      <c r="J15" s="636">
        <f>'Step 3. FA Balance'!U235</f>
        <v>0</v>
      </c>
      <c r="K15" s="636">
        <f>'Step 3. FA Balance'!V235</f>
        <v>0</v>
      </c>
      <c r="L15" s="636">
        <f>'Step 3. FA Balance'!W235</f>
        <v>0</v>
      </c>
      <c r="M15" s="636">
        <f>'Step 3. FA Balance'!X235</f>
        <v>0</v>
      </c>
      <c r="N15" s="639">
        <f>'Step 3. FA Balance'!Y235</f>
        <v>0</v>
      </c>
    </row>
    <row r="16" spans="1:14" ht="15">
      <c r="A16" s="682" t="s">
        <v>636</v>
      </c>
      <c r="B16" s="636">
        <f>'Step 3. FA Balance'!M236</f>
        <v>0</v>
      </c>
      <c r="C16" s="636">
        <f>'Step 3. FA Balance'!N236</f>
        <v>0</v>
      </c>
      <c r="D16" s="636">
        <f>'Step 3. FA Balance'!O236</f>
        <v>0</v>
      </c>
      <c r="E16" s="636">
        <f>'Step 3. FA Balance'!P236</f>
        <v>0</v>
      </c>
      <c r="F16" s="636">
        <f>'Step 3. FA Balance'!Q236</f>
        <v>0</v>
      </c>
      <c r="G16" s="636">
        <f>'Step 3. FA Balance'!R236</f>
        <v>0</v>
      </c>
      <c r="H16" s="636">
        <f>'Step 3. FA Balance'!S236</f>
        <v>0</v>
      </c>
      <c r="I16" s="636">
        <f>'Step 3. FA Balance'!T236</f>
        <v>0</v>
      </c>
      <c r="J16" s="636">
        <f>'Step 3. FA Balance'!U236</f>
        <v>0</v>
      </c>
      <c r="K16" s="636">
        <f>'Step 3. FA Balance'!V236</f>
        <v>0</v>
      </c>
      <c r="L16" s="636">
        <f>'Step 3. FA Balance'!W236</f>
        <v>0</v>
      </c>
      <c r="M16" s="636">
        <f>'Step 3. FA Balance'!X236</f>
        <v>0</v>
      </c>
      <c r="N16" s="639">
        <f>'Step 3. FA Balance'!Y236</f>
        <v>0</v>
      </c>
    </row>
    <row r="17" spans="1:14" ht="15">
      <c r="A17" s="2641" t="s">
        <v>637</v>
      </c>
      <c r="B17" s="2642"/>
      <c r="C17" s="636">
        <f>'Step 3. FA Balance'!N237</f>
        <v>0</v>
      </c>
      <c r="D17" s="636">
        <f>'Step 3. FA Balance'!O237</f>
        <v>0</v>
      </c>
      <c r="E17" s="636">
        <f>'Step 3. FA Balance'!P237</f>
        <v>0</v>
      </c>
      <c r="F17" s="636">
        <f>'Step 3. FA Balance'!Q237</f>
        <v>0</v>
      </c>
      <c r="G17" s="636">
        <f>'Step 3. FA Balance'!R237</f>
        <v>0</v>
      </c>
      <c r="H17" s="636">
        <f>'Step 3. FA Balance'!S237</f>
        <v>0</v>
      </c>
      <c r="I17" s="636">
        <f>'Step 3. FA Balance'!T237</f>
        <v>0</v>
      </c>
      <c r="J17" s="636">
        <f>'Step 3. FA Balance'!U237</f>
        <v>0</v>
      </c>
      <c r="K17" s="636">
        <f>'Step 3. FA Balance'!V237</f>
        <v>0</v>
      </c>
      <c r="L17" s="636">
        <f>'Step 3. FA Balance'!W237</f>
        <v>0</v>
      </c>
      <c r="M17" s="636">
        <f>'Step 3. FA Balance'!X237</f>
        <v>0</v>
      </c>
      <c r="N17" s="639">
        <f>'Step 3. FA Balance'!Y237</f>
        <v>0</v>
      </c>
    </row>
    <row r="18" spans="1:14" ht="15">
      <c r="A18" s="686"/>
      <c r="B18" s="641"/>
      <c r="C18" s="641"/>
      <c r="D18" s="641"/>
      <c r="E18" s="641"/>
      <c r="F18" s="641"/>
      <c r="G18" s="641"/>
      <c r="H18" s="641"/>
      <c r="I18" s="641"/>
      <c r="J18" s="641"/>
      <c r="K18" s="641"/>
      <c r="L18" s="641"/>
      <c r="M18" s="641"/>
      <c r="N18" s="642"/>
    </row>
    <row r="19" spans="1:14" ht="16">
      <c r="A19" s="679" t="s">
        <v>303</v>
      </c>
      <c r="B19" s="636"/>
      <c r="C19" s="636"/>
      <c r="D19" s="636"/>
      <c r="E19" s="636"/>
      <c r="F19" s="636"/>
      <c r="G19" s="636"/>
      <c r="H19" s="636"/>
      <c r="I19" s="636"/>
      <c r="J19" s="636"/>
      <c r="K19" s="636"/>
      <c r="L19" s="636"/>
      <c r="M19" s="636"/>
      <c r="N19" s="639"/>
    </row>
    <row r="20" spans="1:14" ht="15">
      <c r="A20" s="682" t="s">
        <v>634</v>
      </c>
      <c r="B20" s="636" t="str">
        <f>'Step 3. FA Balance'!M239</f>
        <v>0</v>
      </c>
      <c r="C20" s="636" t="str">
        <f>'Step 3. FA Balance'!N239</f>
        <v>0</v>
      </c>
      <c r="D20" s="636" t="str">
        <f>'Step 3. FA Balance'!O239</f>
        <v>0</v>
      </c>
      <c r="E20" s="636" t="str">
        <f>'Step 3. FA Balance'!P239</f>
        <v>0</v>
      </c>
      <c r="F20" s="636" t="str">
        <f>'Step 3. FA Balance'!Q239</f>
        <v>0</v>
      </c>
      <c r="G20" s="636" t="str">
        <f>'Step 3. FA Balance'!R239</f>
        <v>0</v>
      </c>
      <c r="H20" s="636" t="str">
        <f>'Step 3. FA Balance'!S239</f>
        <v>0</v>
      </c>
      <c r="I20" s="636" t="str">
        <f>'Step 3. FA Balance'!T239</f>
        <v>0</v>
      </c>
      <c r="J20" s="636" t="str">
        <f>'Step 3. FA Balance'!U239</f>
        <v>0</v>
      </c>
      <c r="K20" s="636" t="str">
        <f>'Step 3. FA Balance'!V239</f>
        <v>0</v>
      </c>
      <c r="L20" s="636" t="str">
        <f>'Step 3. FA Balance'!W239</f>
        <v>0</v>
      </c>
      <c r="M20" s="636" t="str">
        <f>'Step 3. FA Balance'!X239</f>
        <v>0</v>
      </c>
      <c r="N20" s="639" t="str">
        <f>'Step 3. FA Balance'!Y239</f>
        <v>0</v>
      </c>
    </row>
    <row r="21" spans="1:14" ht="16" thickBot="1">
      <c r="A21" s="683" t="s">
        <v>635</v>
      </c>
      <c r="B21" s="684">
        <f>'Step 3. FA Balance'!M240</f>
        <v>0</v>
      </c>
      <c r="C21" s="684">
        <f>'Step 3. FA Balance'!N240</f>
        <v>0</v>
      </c>
      <c r="D21" s="684">
        <f>'Step 3. FA Balance'!O240</f>
        <v>0</v>
      </c>
      <c r="E21" s="684">
        <f>'Step 3. FA Balance'!P240</f>
        <v>0</v>
      </c>
      <c r="F21" s="684">
        <f>'Step 3. FA Balance'!Q240</f>
        <v>0</v>
      </c>
      <c r="G21" s="684">
        <f>'Step 3. FA Balance'!R240</f>
        <v>0</v>
      </c>
      <c r="H21" s="684">
        <f>'Step 3. FA Balance'!S240</f>
        <v>0</v>
      </c>
      <c r="I21" s="684">
        <f>'Step 3. FA Balance'!T240</f>
        <v>0</v>
      </c>
      <c r="J21" s="684">
        <f>'Step 3. FA Balance'!U240</f>
        <v>0</v>
      </c>
      <c r="K21" s="684">
        <f>'Step 3. FA Balance'!V240</f>
        <v>0</v>
      </c>
      <c r="L21" s="684">
        <f>'Step 3. FA Balance'!W240</f>
        <v>0</v>
      </c>
      <c r="M21" s="684">
        <f>'Step 3. FA Balance'!X240</f>
        <v>0</v>
      </c>
      <c r="N21" s="685">
        <f>'Step 3. FA Balance'!Y240</f>
        <v>0</v>
      </c>
    </row>
    <row r="22" spans="1:14" ht="16" thickBot="1">
      <c r="A22" s="604"/>
      <c r="B22" s="604"/>
      <c r="C22" s="604"/>
      <c r="D22" s="604"/>
      <c r="E22" s="604"/>
      <c r="F22" s="604"/>
      <c r="G22" s="604"/>
      <c r="H22" s="604"/>
      <c r="I22" s="604"/>
      <c r="J22" s="604"/>
      <c r="K22" s="604"/>
      <c r="L22" s="604"/>
      <c r="M22" s="604"/>
      <c r="N22" s="604"/>
    </row>
    <row r="23" spans="1:14" ht="18">
      <c r="A23" s="2644" t="s">
        <v>638</v>
      </c>
      <c r="B23" s="2645"/>
      <c r="C23" s="2645"/>
      <c r="D23" s="2645"/>
      <c r="E23" s="2645"/>
      <c r="F23" s="2645"/>
      <c r="G23" s="2645"/>
      <c r="H23" s="700"/>
      <c r="I23" s="604"/>
      <c r="J23" s="604"/>
      <c r="K23" s="604"/>
      <c r="L23" s="604"/>
      <c r="M23" s="604"/>
      <c r="N23" s="604"/>
    </row>
    <row r="24" spans="1:14" ht="9" customHeight="1">
      <c r="A24" s="694"/>
      <c r="B24" s="695"/>
      <c r="C24" s="695"/>
      <c r="D24" s="695"/>
      <c r="E24" s="695"/>
      <c r="F24" s="695"/>
      <c r="G24" s="695"/>
      <c r="H24" s="557"/>
      <c r="I24" s="604"/>
      <c r="J24" s="604"/>
      <c r="K24" s="604"/>
      <c r="L24" s="604"/>
      <c r="M24" s="604"/>
      <c r="N24" s="604"/>
    </row>
    <row r="25" spans="1:14" ht="16">
      <c r="A25" s="2643" t="s">
        <v>186</v>
      </c>
      <c r="B25" s="2640"/>
      <c r="C25" s="2640"/>
      <c r="D25" s="2640"/>
      <c r="E25" s="2640"/>
      <c r="F25" s="2640"/>
      <c r="G25" s="704">
        <f>'Step 3. FA Balance'!N245</f>
        <v>0</v>
      </c>
      <c r="H25" s="701" t="s">
        <v>439</v>
      </c>
      <c r="I25" s="604"/>
      <c r="J25" s="604"/>
      <c r="K25" s="604"/>
      <c r="L25" s="604"/>
      <c r="M25" s="604"/>
      <c r="N25" s="604"/>
    </row>
    <row r="26" spans="1:14" ht="16">
      <c r="A26" s="2643" t="s">
        <v>460</v>
      </c>
      <c r="B26" s="2640"/>
      <c r="C26" s="2640"/>
      <c r="D26" s="2640"/>
      <c r="E26" s="2640"/>
      <c r="F26" s="2640"/>
      <c r="G26" s="704">
        <f>'Step 3. FA Balance'!N247</f>
        <v>0</v>
      </c>
      <c r="H26" s="701" t="s">
        <v>439</v>
      </c>
    </row>
    <row r="27" spans="1:14" ht="16">
      <c r="A27" s="2646" t="s">
        <v>441</v>
      </c>
      <c r="B27" s="2647"/>
      <c r="C27" s="2647"/>
      <c r="D27" s="2647"/>
      <c r="E27" s="2647"/>
      <c r="F27" s="2647"/>
      <c r="G27" s="704"/>
      <c r="H27" s="701"/>
    </row>
    <row r="28" spans="1:14" ht="16">
      <c r="A28" s="2643" t="s">
        <v>452</v>
      </c>
      <c r="B28" s="2640"/>
      <c r="C28" s="2640"/>
      <c r="D28" s="2640"/>
      <c r="E28" s="2640"/>
      <c r="F28" s="2640"/>
      <c r="G28" s="704">
        <f>'Step 3. FA Balance'!N249</f>
        <v>0</v>
      </c>
      <c r="H28" s="701" t="s">
        <v>439</v>
      </c>
    </row>
    <row r="29" spans="1:14" ht="16" hidden="1">
      <c r="A29" s="696"/>
      <c r="B29" s="693"/>
      <c r="C29" s="693"/>
      <c r="D29" s="693"/>
      <c r="E29" s="693"/>
      <c r="F29" s="693"/>
      <c r="G29" s="704"/>
      <c r="H29" s="701"/>
    </row>
    <row r="30" spans="1:14" ht="16" hidden="1">
      <c r="A30" s="696"/>
      <c r="B30" s="2639" t="s">
        <v>461</v>
      </c>
      <c r="C30" s="2639"/>
      <c r="D30" s="2639"/>
      <c r="E30" s="2639"/>
      <c r="F30" s="2639"/>
      <c r="G30" s="704">
        <f>'Step 3. FA Balance'!N264</f>
        <v>0</v>
      </c>
      <c r="H30" s="701" t="s">
        <v>439</v>
      </c>
    </row>
    <row r="31" spans="1:14" ht="16" hidden="1">
      <c r="A31" s="697"/>
      <c r="B31" s="687"/>
      <c r="C31" s="2640" t="s">
        <v>639</v>
      </c>
      <c r="D31" s="2640"/>
      <c r="E31" s="2640"/>
      <c r="F31" s="2640"/>
      <c r="G31" s="704">
        <f>SumLoss1</f>
        <v>0</v>
      </c>
      <c r="H31" s="701" t="s">
        <v>454</v>
      </c>
    </row>
    <row r="32" spans="1:14" ht="16" hidden="1">
      <c r="A32" s="696"/>
      <c r="B32" s="2640" t="s">
        <v>455</v>
      </c>
      <c r="C32" s="2640"/>
      <c r="D32" s="2640"/>
      <c r="E32" s="2640"/>
      <c r="F32" s="2640"/>
      <c r="G32" s="704">
        <f>'Step 3. FA Balance'!N266</f>
        <v>0</v>
      </c>
      <c r="H32" s="701" t="s">
        <v>439</v>
      </c>
    </row>
    <row r="33" spans="1:8" ht="16" hidden="1">
      <c r="A33" s="696"/>
      <c r="B33" s="688"/>
      <c r="C33" s="688"/>
      <c r="D33" s="688"/>
      <c r="E33" s="688"/>
      <c r="F33" s="688"/>
      <c r="G33" s="704"/>
      <c r="H33" s="701"/>
    </row>
    <row r="34" spans="1:8" ht="16" hidden="1">
      <c r="A34" s="696"/>
      <c r="B34" s="2640" t="s">
        <v>440</v>
      </c>
      <c r="C34" s="2640"/>
      <c r="D34" s="2640"/>
      <c r="E34" s="2640"/>
      <c r="F34" s="2640"/>
      <c r="G34" s="704">
        <f>SumCarryoverHay</f>
        <v>0</v>
      </c>
      <c r="H34" s="701" t="s">
        <v>439</v>
      </c>
    </row>
    <row r="35" spans="1:8" ht="16" hidden="1">
      <c r="A35" s="696"/>
      <c r="B35" s="688"/>
      <c r="C35" s="2640" t="s">
        <v>639</v>
      </c>
      <c r="D35" s="2640"/>
      <c r="E35" s="2640"/>
      <c r="F35" s="2640"/>
      <c r="G35" s="704">
        <f>SumLoss2</f>
        <v>0</v>
      </c>
      <c r="H35" s="701" t="s">
        <v>454</v>
      </c>
    </row>
    <row r="36" spans="1:8" ht="16" hidden="1">
      <c r="A36" s="697"/>
      <c r="B36" s="689"/>
      <c r="C36" s="687"/>
      <c r="D36" s="2640" t="s">
        <v>456</v>
      </c>
      <c r="E36" s="2640"/>
      <c r="F36" s="2640"/>
      <c r="G36" s="704">
        <f>'Step 3. FA Balance'!N270</f>
        <v>0</v>
      </c>
      <c r="H36" s="701" t="s">
        <v>439</v>
      </c>
    </row>
    <row r="37" spans="1:8" ht="18" hidden="1">
      <c r="A37" s="696"/>
      <c r="B37" s="689"/>
      <c r="C37" s="690"/>
      <c r="D37" s="691"/>
      <c r="E37" s="692"/>
      <c r="F37" s="693"/>
      <c r="G37" s="704"/>
      <c r="H37" s="701"/>
    </row>
    <row r="38" spans="1:8" ht="16" hidden="1">
      <c r="A38" s="2643" t="s">
        <v>213</v>
      </c>
      <c r="B38" s="2640"/>
      <c r="C38" s="2640"/>
      <c r="D38" s="2640"/>
      <c r="E38" s="2640"/>
      <c r="F38" s="2640"/>
      <c r="G38" s="704">
        <f>SumBuyHay</f>
        <v>0</v>
      </c>
      <c r="H38" s="701" t="s">
        <v>439</v>
      </c>
    </row>
    <row r="39" spans="1:8" ht="16" hidden="1">
      <c r="A39" s="698"/>
      <c r="B39" s="688"/>
      <c r="C39" s="2640" t="s">
        <v>639</v>
      </c>
      <c r="D39" s="2640"/>
      <c r="E39" s="2640"/>
      <c r="F39" s="2640"/>
      <c r="G39" s="704">
        <f>SumLoss3</f>
        <v>0</v>
      </c>
      <c r="H39" s="701" t="s">
        <v>454</v>
      </c>
    </row>
    <row r="40" spans="1:8" ht="16" hidden="1">
      <c r="A40" s="696"/>
      <c r="B40" s="688"/>
      <c r="C40" s="687"/>
      <c r="D40" s="2640" t="s">
        <v>457</v>
      </c>
      <c r="E40" s="2640"/>
      <c r="F40" s="2640"/>
      <c r="G40" s="704">
        <f>'Step 3. FA Balance'!N274</f>
        <v>0</v>
      </c>
      <c r="H40" s="701" t="s">
        <v>439</v>
      </c>
    </row>
    <row r="41" spans="1:8" ht="16">
      <c r="A41" s="696"/>
      <c r="B41" s="693"/>
      <c r="C41" s="693"/>
      <c r="D41" s="693"/>
      <c r="E41" s="693"/>
      <c r="F41" s="693"/>
      <c r="G41" s="699"/>
      <c r="H41" s="703"/>
    </row>
    <row r="42" spans="1:8" ht="18" thickBot="1">
      <c r="A42" s="2637" t="s">
        <v>458</v>
      </c>
      <c r="B42" s="2638"/>
      <c r="C42" s="2638"/>
      <c r="D42" s="2638"/>
      <c r="E42" s="2638"/>
      <c r="F42" s="2638"/>
      <c r="G42" s="705">
        <f>'Step 3. FA Balance'!N277</f>
        <v>0</v>
      </c>
      <c r="H42" s="702" t="s">
        <v>439</v>
      </c>
    </row>
  </sheetData>
  <mergeCells count="17">
    <mergeCell ref="A11:B11"/>
    <mergeCell ref="A26:F26"/>
    <mergeCell ref="A38:F38"/>
    <mergeCell ref="C39:F39"/>
    <mergeCell ref="D40:F40"/>
    <mergeCell ref="A28:F28"/>
    <mergeCell ref="A25:F25"/>
    <mergeCell ref="A23:G23"/>
    <mergeCell ref="A27:F27"/>
    <mergeCell ref="A17:B17"/>
    <mergeCell ref="A42:F42"/>
    <mergeCell ref="B30:F30"/>
    <mergeCell ref="C31:F31"/>
    <mergeCell ref="B32:F32"/>
    <mergeCell ref="B34:F34"/>
    <mergeCell ref="C35:F35"/>
    <mergeCell ref="D36:F36"/>
  </mergeCells>
  <pageMargins left="0.2" right="0.2" top="0.5" bottom="0.5" header="0.3" footer="0.3"/>
  <pageSetup scale="86"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B6D24-6F8F-4AB2-A5B5-AFEBB6A11050}">
  <sheetPr codeName="Sheet15"/>
  <dimension ref="A1:J51"/>
  <sheetViews>
    <sheetView workbookViewId="0"/>
  </sheetViews>
  <sheetFormatPr baseColWidth="10" defaultColWidth="8.83203125" defaultRowHeight="14"/>
  <cols>
    <col min="2" max="2" width="16.6640625" customWidth="1"/>
    <col min="5" max="5" width="11.83203125" bestFit="1" customWidth="1"/>
    <col min="6" max="6" width="9.83203125" customWidth="1"/>
    <col min="7" max="7" width="10.83203125" bestFit="1" customWidth="1"/>
  </cols>
  <sheetData>
    <row r="1" spans="1:10" ht="16">
      <c r="A1" s="15" t="s">
        <v>644</v>
      </c>
    </row>
    <row r="2" spans="1:10" ht="16">
      <c r="A2" s="4">
        <f>Name</f>
        <v>0</v>
      </c>
    </row>
    <row r="3" spans="1:10" ht="16">
      <c r="A3" s="4">
        <f>ID</f>
        <v>0</v>
      </c>
    </row>
    <row r="4" spans="1:10" ht="16">
      <c r="A4" s="4">
        <f>Date</f>
        <v>0</v>
      </c>
    </row>
    <row r="5" spans="1:10" ht="15" thickBot="1"/>
    <row r="6" spans="1:10" ht="17" thickBot="1">
      <c r="A6" s="2649" t="s">
        <v>645</v>
      </c>
      <c r="B6" s="2650"/>
      <c r="C6" s="2650"/>
      <c r="D6" s="2650"/>
      <c r="E6" s="2650"/>
      <c r="F6" s="2650"/>
      <c r="G6" s="2650"/>
      <c r="H6" s="2650"/>
      <c r="I6" s="2651"/>
    </row>
    <row r="7" spans="1:10" ht="15">
      <c r="A7" s="744"/>
      <c r="B7" s="741"/>
      <c r="C7" s="747"/>
      <c r="D7" s="2648" t="s">
        <v>646</v>
      </c>
      <c r="E7" s="747"/>
      <c r="F7" s="747" t="s">
        <v>76</v>
      </c>
      <c r="G7" s="747" t="s">
        <v>116</v>
      </c>
      <c r="H7" s="750"/>
      <c r="I7" s="721" t="s">
        <v>58</v>
      </c>
      <c r="J7" s="202"/>
    </row>
    <row r="8" spans="1:10" ht="15">
      <c r="A8" s="745" t="s">
        <v>57</v>
      </c>
      <c r="B8" s="742"/>
      <c r="C8" s="748" t="s">
        <v>63</v>
      </c>
      <c r="D8" s="2648"/>
      <c r="E8" s="748" t="s">
        <v>448</v>
      </c>
      <c r="F8" s="748" t="s">
        <v>64</v>
      </c>
      <c r="G8" s="748" t="s">
        <v>117</v>
      </c>
      <c r="H8" s="748" t="s">
        <v>286</v>
      </c>
      <c r="I8" s="721" t="s">
        <v>125</v>
      </c>
      <c r="J8" s="202"/>
    </row>
    <row r="9" spans="1:10">
      <c r="A9" s="746" t="s">
        <v>36</v>
      </c>
      <c r="B9" s="743" t="s">
        <v>79</v>
      </c>
      <c r="C9" s="749" t="s">
        <v>80</v>
      </c>
      <c r="D9" s="749" t="s">
        <v>283</v>
      </c>
      <c r="E9" s="749" t="s">
        <v>449</v>
      </c>
      <c r="F9" s="749" t="s">
        <v>81</v>
      </c>
      <c r="G9" s="749" t="s">
        <v>82</v>
      </c>
      <c r="H9" s="749" t="s">
        <v>81</v>
      </c>
      <c r="I9" s="722" t="s">
        <v>279</v>
      </c>
      <c r="J9" s="202"/>
    </row>
    <row r="10" spans="1:10" ht="15" hidden="1">
      <c r="A10" s="727" t="str">
        <f>IF(HayMonth1&gt;0,Field1,"")</f>
        <v/>
      </c>
      <c r="B10" s="729" t="str">
        <f>IF(HayMonth1&gt;0,Kind1,"")</f>
        <v/>
      </c>
      <c r="C10" s="729" t="str">
        <f>IF(HayMonth1&gt;0,Acres1,"")</f>
        <v/>
      </c>
      <c r="D10" s="731" t="str">
        <f>IF(HayMonth1&gt;0,HayYield1,"")</f>
        <v/>
      </c>
      <c r="E10" s="731" t="str">
        <f>IF(HayMonth1&gt;0,'Step 3. FA Balance'!J104,"")</f>
        <v/>
      </c>
      <c r="F10" s="731" t="str">
        <f>IF(HayMonth1&gt;0,'Step 3. FA Balance'!K160,"")</f>
        <v/>
      </c>
      <c r="G10" s="733" t="str">
        <f>IF(HayMonth1&gt;0,HarvestEff1,"")</f>
        <v/>
      </c>
      <c r="H10" s="731" t="str">
        <f>IF(HayMonth1&gt;0,'Step 3. FA Balance'!M160,"")</f>
        <v/>
      </c>
      <c r="I10" s="724" t="str">
        <f>IF(HayMonth1&gt;0,'Step 3. FA Balance'!N160,"")</f>
        <v/>
      </c>
      <c r="J10" s="202"/>
    </row>
    <row r="11" spans="1:10" ht="15" hidden="1">
      <c r="A11" s="728" t="str">
        <f>IF(HayMonth2&gt;0,Field2,"")</f>
        <v/>
      </c>
      <c r="B11" s="730" t="str">
        <f>IF(HayMonth2&gt;0,Kind2,"")</f>
        <v/>
      </c>
      <c r="C11" s="730" t="str">
        <f>IF(HayMonth2&gt;0,Acres2,"")</f>
        <v/>
      </c>
      <c r="D11" s="732" t="str">
        <f>IF(HayMonth2&gt;0,HayYield2,"")</f>
        <v/>
      </c>
      <c r="E11" s="732" t="str">
        <f>IF(HayMonth2&gt;0,'Step 3. FA Balance'!J106,"")</f>
        <v/>
      </c>
      <c r="F11" s="732" t="str">
        <f>IF(HayMonth2&gt;0,'Step 3. FA Balance'!K161,"")</f>
        <v/>
      </c>
      <c r="G11" s="734" t="str">
        <f>IF(HayMonth2&gt;0,HarvestEff2,"")</f>
        <v/>
      </c>
      <c r="H11" s="732" t="str">
        <f>IF(HayMonth2&gt;0,'Step 3. FA Balance'!M161,"")</f>
        <v/>
      </c>
      <c r="I11" s="724" t="str">
        <f>IF(HayMonth2&gt;0,'Step 3. FA Balance'!N161,"")</f>
        <v/>
      </c>
      <c r="J11" s="202"/>
    </row>
    <row r="12" spans="1:10" ht="15" hidden="1">
      <c r="A12" s="728" t="str">
        <f>IF(HayMonth3&gt;0,Field3,"")</f>
        <v/>
      </c>
      <c r="B12" s="730" t="str">
        <f>IF(HayMonth3&gt;0,Kind3,"")</f>
        <v/>
      </c>
      <c r="C12" s="730" t="str">
        <f>IF(HayMonth3&gt;0,Acres3,"")</f>
        <v/>
      </c>
      <c r="D12" s="732" t="str">
        <f>IF(HayMonth3&gt;0,HayYield3,"")</f>
        <v/>
      </c>
      <c r="E12" s="732" t="str">
        <f>IF(HayMonth3&gt;0,'Step 3. FA Balance'!J108,"")</f>
        <v/>
      </c>
      <c r="F12" s="732" t="str">
        <f>IF(HayMonth3&gt;0,'Step 3. FA Balance'!K162,"")</f>
        <v/>
      </c>
      <c r="G12" s="734" t="str">
        <f>IF(HayMonth3&gt;0,HarvestEff3,"")</f>
        <v/>
      </c>
      <c r="H12" s="732" t="str">
        <f>IF(HayMonth3&gt;0,'Step 3. FA Balance'!M162,"")</f>
        <v/>
      </c>
      <c r="I12" s="724" t="str">
        <f>IF(HayMonth3&gt;0,'Step 3. FA Balance'!N162,"")</f>
        <v/>
      </c>
      <c r="J12" s="202"/>
    </row>
    <row r="13" spans="1:10" ht="15" hidden="1">
      <c r="A13" s="728" t="str">
        <f>IF(HayMonth4&gt;0,Field4,"")</f>
        <v/>
      </c>
      <c r="B13" s="730" t="str">
        <f>IF(HayMonth4&gt;0,Kind4,"")</f>
        <v/>
      </c>
      <c r="C13" s="730" t="str">
        <f>IF(HayMonth4&gt;0,Acres4,"")</f>
        <v/>
      </c>
      <c r="D13" s="732" t="str">
        <f>IF(HayMonth4&gt;0,HayYield4,"")</f>
        <v/>
      </c>
      <c r="E13" s="732" t="str">
        <f>IF(HayMonth4&gt;0,'Step 3. FA Balance'!J110,"")</f>
        <v/>
      </c>
      <c r="F13" s="732" t="str">
        <f>IF(HayMonth4&gt;0,'Step 3. FA Balance'!K163,"")</f>
        <v/>
      </c>
      <c r="G13" s="734" t="str">
        <f>IF(HayMonth4&gt;0,HarvestEff4,"")</f>
        <v/>
      </c>
      <c r="H13" s="732" t="str">
        <f>IF(HayMonth4&gt;0,'Step 3. FA Balance'!M163,"")</f>
        <v/>
      </c>
      <c r="I13" s="724" t="str">
        <f>IF(HayMonth4&gt;0,'Step 3. FA Balance'!N163,"")</f>
        <v/>
      </c>
      <c r="J13" s="202"/>
    </row>
    <row r="14" spans="1:10" ht="15" hidden="1">
      <c r="A14" s="728" t="str">
        <f>IF(HayMonth5&gt;0,Field5,"")</f>
        <v/>
      </c>
      <c r="B14" s="730" t="str">
        <f>IF(HayMonth5&gt;0,Kind5,"")</f>
        <v/>
      </c>
      <c r="C14" s="730" t="str">
        <f>IF(HayMonth5&gt;0,Acres5,"")</f>
        <v/>
      </c>
      <c r="D14" s="732" t="str">
        <f>IF(HayMonth5&gt;0,HayYield5,"")</f>
        <v/>
      </c>
      <c r="E14" s="732" t="str">
        <f>IF(HayMonth5&gt;0,'Step 3. FA Balance'!J112,"")</f>
        <v/>
      </c>
      <c r="F14" s="732" t="str">
        <f>IF(HayMonth5&gt;0,'Step 3. FA Balance'!K164,"")</f>
        <v/>
      </c>
      <c r="G14" s="734" t="str">
        <f>IF(HayMonth5&gt;0,HarvestEff5,"")</f>
        <v/>
      </c>
      <c r="H14" s="732" t="str">
        <f>IF(HayMonth5&gt;0,'Step 3. FA Balance'!M164,"")</f>
        <v/>
      </c>
      <c r="I14" s="724" t="str">
        <f>IF(HayMonth5&gt;0,'Step 3. FA Balance'!N164,"")</f>
        <v/>
      </c>
      <c r="J14" s="202"/>
    </row>
    <row r="15" spans="1:10" ht="15" hidden="1">
      <c r="A15" s="728" t="str">
        <f>IF(HayMonth6&gt;0,Field6,"")</f>
        <v/>
      </c>
      <c r="B15" s="730" t="str">
        <f>IF(HayMonth6&gt;0,Kind6,"")</f>
        <v/>
      </c>
      <c r="C15" s="730" t="str">
        <f>IF(HayMonth6&gt;0,Acres6,"")</f>
        <v/>
      </c>
      <c r="D15" s="732" t="str">
        <f>IF(HayMonth6&gt;0,HayYield6,"")</f>
        <v/>
      </c>
      <c r="E15" s="732" t="str">
        <f>IF(HayMonth6&gt;0,'Step 3. FA Balance'!J114,"")</f>
        <v/>
      </c>
      <c r="F15" s="732" t="str">
        <f>IF(HayMonth6&gt;0,'Step 3. FA Balance'!K165,"")</f>
        <v/>
      </c>
      <c r="G15" s="734" t="str">
        <f>IF(HayMonth6&gt;0,HarvestEff6,"")</f>
        <v/>
      </c>
      <c r="H15" s="732" t="str">
        <f>IF(HayMonth6&gt;0,'Step 3. FA Balance'!M165,"")</f>
        <v/>
      </c>
      <c r="I15" s="724" t="str">
        <f>IF(HayMonth6&gt;0,'Step 3. FA Balance'!N165,"")</f>
        <v/>
      </c>
      <c r="J15" s="202"/>
    </row>
    <row r="16" spans="1:10" ht="15" hidden="1">
      <c r="A16" s="728" t="str">
        <f>IF(HayMonth7&gt;0,Field7,"")</f>
        <v/>
      </c>
      <c r="B16" s="730" t="str">
        <f>IF(HayMonth7&gt;0,Kind7,"")</f>
        <v/>
      </c>
      <c r="C16" s="730" t="str">
        <f>IF(HayMonth7&gt;0,Acres7,"")</f>
        <v/>
      </c>
      <c r="D16" s="732" t="str">
        <f>IF(HayMonth7&gt;0,HayYield7,"")</f>
        <v/>
      </c>
      <c r="E16" s="732" t="str">
        <f>IF(HayMonth7&gt;0,'Step 3. FA Balance'!J116,"")</f>
        <v/>
      </c>
      <c r="F16" s="732" t="str">
        <f>IF(HayMonth7&gt;0,'Step 3. FA Balance'!K166,"")</f>
        <v/>
      </c>
      <c r="G16" s="734" t="str">
        <f>IF(HayMonth7&gt;0,HarvestEff7,"")</f>
        <v/>
      </c>
      <c r="H16" s="732" t="str">
        <f>IF(HayMonth7&gt;0,'Step 3. FA Balance'!M166,"")</f>
        <v/>
      </c>
      <c r="I16" s="724" t="str">
        <f>IF(HayMonth7&gt;0,'Step 3. FA Balance'!N166,"")</f>
        <v/>
      </c>
      <c r="J16" s="202"/>
    </row>
    <row r="17" spans="1:10" ht="15" hidden="1">
      <c r="A17" s="728" t="str">
        <f>IF(HayMonth8&gt;0,Field8,"")</f>
        <v/>
      </c>
      <c r="B17" s="730" t="str">
        <f>IF(HayMonth8&gt;0,Kind8,"")</f>
        <v/>
      </c>
      <c r="C17" s="730" t="str">
        <f>IF(HayMonth8&gt;0,Acres8,"")</f>
        <v/>
      </c>
      <c r="D17" s="732" t="str">
        <f>IF(HayMonth8&gt;0,HayYield8,"")</f>
        <v/>
      </c>
      <c r="E17" s="732" t="str">
        <f>IF(HayMonth8&gt;0,'Step 3. FA Balance'!J118,"")</f>
        <v/>
      </c>
      <c r="F17" s="732" t="str">
        <f>IF(HayMonth8&gt;0,'Step 3. FA Balance'!K167,"")</f>
        <v/>
      </c>
      <c r="G17" s="734" t="str">
        <f>IF(HayMonth8&gt;0,HarvestEff8,"")</f>
        <v/>
      </c>
      <c r="H17" s="732" t="str">
        <f>IF(HayMonth8&gt;0,'Step 3. FA Balance'!M167,"")</f>
        <v/>
      </c>
      <c r="I17" s="724" t="str">
        <f>IF(HayMonth8&gt;0,'Step 3. FA Balance'!N167,"")</f>
        <v/>
      </c>
      <c r="J17" s="202"/>
    </row>
    <row r="18" spans="1:10" ht="15" hidden="1">
      <c r="A18" s="728" t="str">
        <f>IF(HayMonth9&gt;0,Field9,"")</f>
        <v/>
      </c>
      <c r="B18" s="730" t="str">
        <f>IF(HayMonth9&gt;0,Kind9,"")</f>
        <v/>
      </c>
      <c r="C18" s="730" t="str">
        <f>IF(HayMonth9&gt;0,Acres9,"")</f>
        <v/>
      </c>
      <c r="D18" s="732" t="str">
        <f>IF(HayMonth9&gt;0,HayYield9,"")</f>
        <v/>
      </c>
      <c r="E18" s="732" t="str">
        <f>IF(HayMonth9&gt;0,'Step 3. FA Balance'!J120,"")</f>
        <v/>
      </c>
      <c r="F18" s="732" t="str">
        <f>IF(HayMonth9&gt;0,'Step 3. FA Balance'!K168,"")</f>
        <v/>
      </c>
      <c r="G18" s="734" t="str">
        <f>IF(HayMonth9&gt;0,HarvestEff9,"")</f>
        <v/>
      </c>
      <c r="H18" s="732" t="str">
        <f>IF(HayMonth9&gt;0,'Step 3. FA Balance'!M168,"")</f>
        <v/>
      </c>
      <c r="I18" s="724" t="str">
        <f>IF(HayMonth9&gt;0,'Step 3. FA Balance'!N168,"")</f>
        <v/>
      </c>
      <c r="J18" s="202"/>
    </row>
    <row r="19" spans="1:10" ht="15" hidden="1">
      <c r="A19" s="728" t="str">
        <f>IF(HayMonth10&gt;0,Field10,"")</f>
        <v/>
      </c>
      <c r="B19" s="730" t="str">
        <f>IF(HayMonth10&gt;0,Kind10,"")</f>
        <v/>
      </c>
      <c r="C19" s="730" t="str">
        <f>IF(HayMonth10&gt;0,Acres10,"")</f>
        <v/>
      </c>
      <c r="D19" s="732" t="str">
        <f>IF(HayMonth10&gt;0,HayYield10,"")</f>
        <v/>
      </c>
      <c r="E19" s="732" t="str">
        <f>IF(HayMonth10&gt;0,'Step 3. FA Balance'!J122,"")</f>
        <v/>
      </c>
      <c r="F19" s="732" t="str">
        <f>IF(HayMonth10&gt;0,'Step 3. FA Balance'!K169,"")</f>
        <v/>
      </c>
      <c r="G19" s="734" t="str">
        <f>IF(HayMonth10&gt;0,HarvestEff10,"")</f>
        <v/>
      </c>
      <c r="H19" s="732" t="str">
        <f>IF(HayMonth10&gt;0,'Step 3. FA Balance'!M169,"")</f>
        <v/>
      </c>
      <c r="I19" s="724" t="str">
        <f>IF(HayMonth10&gt;0,'Step 3. FA Balance'!N169,"")</f>
        <v/>
      </c>
      <c r="J19" s="202"/>
    </row>
    <row r="20" spans="1:10" ht="15" hidden="1">
      <c r="A20" s="728" t="str">
        <f>IF(HayMonth11&gt;0,Field11,"")</f>
        <v/>
      </c>
      <c r="B20" s="730" t="str">
        <f>IF(HayMonth11&gt;0,Kind11,"")</f>
        <v/>
      </c>
      <c r="C20" s="730" t="str">
        <f>IF(HayMonth11&gt;0,Acres11,"")</f>
        <v/>
      </c>
      <c r="D20" s="732" t="str">
        <f>IF(HayMonth11&gt;0,HayYield11,"")</f>
        <v/>
      </c>
      <c r="E20" s="732" t="str">
        <f>IF(HayMonth11&gt;0,'Step 3. FA Balance'!J124,"")</f>
        <v/>
      </c>
      <c r="F20" s="732" t="str">
        <f>IF(HayMonth11&gt;0,'Step 3. FA Balance'!K170,"")</f>
        <v/>
      </c>
      <c r="G20" s="734" t="str">
        <f>IF(HayMonth11&gt;0,HarvestEff11,"")</f>
        <v/>
      </c>
      <c r="H20" s="732" t="str">
        <f>IF(HayMonth11&gt;0,'Step 3. FA Balance'!M170,"")</f>
        <v/>
      </c>
      <c r="I20" s="724" t="str">
        <f>IF(HayMonth11&gt;0,'Step 3. FA Balance'!N170,"")</f>
        <v/>
      </c>
      <c r="J20" s="202"/>
    </row>
    <row r="21" spans="1:10" ht="15" hidden="1">
      <c r="A21" s="728" t="str">
        <f>IF(HayMonth12&gt;0,Field12,"")</f>
        <v/>
      </c>
      <c r="B21" s="730" t="str">
        <f>IF(HayMonth12&gt;0,Kind12,"")</f>
        <v/>
      </c>
      <c r="C21" s="730" t="str">
        <f>IF(HayMonth12&gt;0,Acres12,"")</f>
        <v/>
      </c>
      <c r="D21" s="732" t="str">
        <f>IF(HayMonth12&gt;0,HayYield12,"")</f>
        <v/>
      </c>
      <c r="E21" s="732" t="str">
        <f>IF(HayMonth12&gt;0,'Step 3. FA Balance'!J126,"")</f>
        <v/>
      </c>
      <c r="F21" s="732" t="str">
        <f>IF(HayMonth12&gt;0,'Step 3. FA Balance'!K171,"")</f>
        <v/>
      </c>
      <c r="G21" s="734" t="str">
        <f>IF(HayMonth12&gt;0,HarvestEff12,"")</f>
        <v/>
      </c>
      <c r="H21" s="732" t="str">
        <f>IF(HayMonth12&gt;0,'Step 3. FA Balance'!M171,"")</f>
        <v/>
      </c>
      <c r="I21" s="724" t="str">
        <f>IF(HayMonth12&gt;0,'Step 3. FA Balance'!N171,"")</f>
        <v/>
      </c>
      <c r="J21" s="202"/>
    </row>
    <row r="22" spans="1:10" ht="15" hidden="1">
      <c r="A22" s="728" t="str">
        <f>IF(HayMonth13&gt;0,Field13,"")</f>
        <v/>
      </c>
      <c r="B22" s="730" t="str">
        <f>IF(HayMonth13&gt;0,Kind13,"")</f>
        <v/>
      </c>
      <c r="C22" s="730" t="str">
        <f>IF(HayMonth13&gt;0,Acres13,"")</f>
        <v/>
      </c>
      <c r="D22" s="732" t="str">
        <f>IF(HayMonth13&gt;0,HayYield13,"")</f>
        <v/>
      </c>
      <c r="E22" s="732" t="str">
        <f>IF(HayMonth13&gt;0,'Step 3. FA Balance'!J128,"")</f>
        <v/>
      </c>
      <c r="F22" s="732" t="str">
        <f>IF(HayMonth13&gt;0,'Step 3. FA Balance'!K172,"")</f>
        <v/>
      </c>
      <c r="G22" s="734" t="str">
        <f>IF(HayMonth13&gt;0,HarvestEff13,"")</f>
        <v/>
      </c>
      <c r="H22" s="732" t="str">
        <f>IF(HayMonth13&gt;0,'Step 3. FA Balance'!M172,"")</f>
        <v/>
      </c>
      <c r="I22" s="724" t="str">
        <f>IF(HayMonth13&gt;0,'Step 3. FA Balance'!N172,"")</f>
        <v/>
      </c>
      <c r="J22" s="202"/>
    </row>
    <row r="23" spans="1:10" ht="15" hidden="1">
      <c r="A23" s="728" t="str">
        <f>IF(HayMonth14&gt;0,Field14,"")</f>
        <v/>
      </c>
      <c r="B23" s="730" t="str">
        <f>IF(HayMonth14&gt;0,Kind14,"")</f>
        <v/>
      </c>
      <c r="C23" s="730" t="str">
        <f>IF(HayMonth14&gt;0,Acres14,"")</f>
        <v/>
      </c>
      <c r="D23" s="732" t="str">
        <f>IF(HayMonth14&gt;0,HayYield14,"")</f>
        <v/>
      </c>
      <c r="E23" s="732" t="str">
        <f>IF(HayMonth14&gt;0,'Step 3. FA Balance'!J130,"")</f>
        <v/>
      </c>
      <c r="F23" s="732" t="str">
        <f>IF(HayMonth14&gt;0,'Step 3. FA Balance'!K173,"")</f>
        <v/>
      </c>
      <c r="G23" s="734" t="str">
        <f>IF(HayMonth14&gt;0,HarvestEff14,"")</f>
        <v/>
      </c>
      <c r="H23" s="732" t="str">
        <f>IF(HayMonth14&gt;0,'Step 3. FA Balance'!M173,"")</f>
        <v/>
      </c>
      <c r="I23" s="724" t="str">
        <f>IF(HayMonth14&gt;0,'Step 3. FA Balance'!N173,"")</f>
        <v/>
      </c>
      <c r="J23" s="202"/>
    </row>
    <row r="24" spans="1:10" ht="15" hidden="1">
      <c r="A24" s="728" t="str">
        <f>IF(HayMonth15&gt;0,Field15,"")</f>
        <v/>
      </c>
      <c r="B24" s="730" t="str">
        <f>IF(HayMonth15&gt;0,Kind15,"")</f>
        <v/>
      </c>
      <c r="C24" s="730" t="str">
        <f>IF(HayMonth15&gt;0,Acres15,"")</f>
        <v/>
      </c>
      <c r="D24" s="732" t="str">
        <f>IF(HayMonth15&gt;0,HayYield15,"")</f>
        <v/>
      </c>
      <c r="E24" s="732" t="str">
        <f>IF(HayMonth15&gt;0,'Step 3. FA Balance'!J132,"")</f>
        <v/>
      </c>
      <c r="F24" s="732" t="str">
        <f>IF(HayMonth15&gt;0,'Step 3. FA Balance'!K174,"")</f>
        <v/>
      </c>
      <c r="G24" s="734" t="str">
        <f>IF(HayMonth15&gt;0,HarvestEff15,"")</f>
        <v/>
      </c>
      <c r="H24" s="732" t="str">
        <f>IF(HayMonth15&gt;0,'Step 3. FA Balance'!M174,"")</f>
        <v/>
      </c>
      <c r="I24" s="724" t="str">
        <f>IF(HayMonth15&gt;0,'Step 3. FA Balance'!N174,"")</f>
        <v/>
      </c>
      <c r="J24" s="202"/>
    </row>
    <row r="25" spans="1:10" ht="15" hidden="1">
      <c r="A25" s="728" t="str">
        <f>IF(HayMonth16&gt;0,Field16,"")</f>
        <v/>
      </c>
      <c r="B25" s="730" t="str">
        <f>IF(HayMonth16&gt;0,Kind16,"")</f>
        <v/>
      </c>
      <c r="C25" s="730" t="str">
        <f>IF(HayMonth16&gt;0,Acres16,"")</f>
        <v/>
      </c>
      <c r="D25" s="732" t="str">
        <f>IF(HayMonth16&gt;0,HayYield16,"")</f>
        <v/>
      </c>
      <c r="E25" s="732" t="str">
        <f>IF(HayMonth16&gt;0,'Step 3. FA Balance'!J134,"")</f>
        <v/>
      </c>
      <c r="F25" s="732" t="str">
        <f>IF(HayMonth16&gt;0,'Step 3. FA Balance'!K175,"")</f>
        <v/>
      </c>
      <c r="G25" s="734" t="str">
        <f>IF(HayMonth16&gt;0,HarvestEff16,"")</f>
        <v/>
      </c>
      <c r="H25" s="732" t="str">
        <f>IF(HayMonth16&gt;0,'Step 3. FA Balance'!M175,"")</f>
        <v/>
      </c>
      <c r="I25" s="724" t="str">
        <f>IF(HayMonth16&gt;0,'Step 3. FA Balance'!N175,"")</f>
        <v/>
      </c>
      <c r="J25" s="202"/>
    </row>
    <row r="26" spans="1:10" ht="15" hidden="1">
      <c r="A26" s="728" t="str">
        <f>IF(HayMonth17&gt;0,Field17,"")</f>
        <v/>
      </c>
      <c r="B26" s="730" t="str">
        <f>IF(HayMonth17&gt;0,Kind17,"")</f>
        <v/>
      </c>
      <c r="C26" s="730" t="str">
        <f>IF(HayMonth17&gt;0,Acres17,"")</f>
        <v/>
      </c>
      <c r="D26" s="732" t="str">
        <f>IF(HayMonth17&gt;0,HayYield17,"")</f>
        <v/>
      </c>
      <c r="E26" s="732" t="str">
        <f>IF(HayMonth17&gt;0,'Step 3. FA Balance'!J136,"")</f>
        <v/>
      </c>
      <c r="F26" s="732" t="str">
        <f>IF(HayMonth17&gt;0,'Step 3. FA Balance'!K176,"")</f>
        <v/>
      </c>
      <c r="G26" s="734" t="str">
        <f>IF(HayMonth17&gt;0,HarvestEff17,"")</f>
        <v/>
      </c>
      <c r="H26" s="732" t="str">
        <f>IF(HayMonth17&gt;0,'Step 3. FA Balance'!M176,"")</f>
        <v/>
      </c>
      <c r="I26" s="724" t="str">
        <f>IF(HayMonth17&gt;0,'Step 3. FA Balance'!N176,"")</f>
        <v/>
      </c>
      <c r="J26" s="202"/>
    </row>
    <row r="27" spans="1:10" ht="15" hidden="1">
      <c r="A27" s="728" t="str">
        <f>IF(HayMonth18&gt;0,Field18,"")</f>
        <v/>
      </c>
      <c r="B27" s="730" t="str">
        <f>IF(HayMonth18&gt;0,Kind18,"")</f>
        <v/>
      </c>
      <c r="C27" s="730" t="str">
        <f>IF(HayMonth18&gt;0,Acres18,"")</f>
        <v/>
      </c>
      <c r="D27" s="732" t="str">
        <f>IF(HayMonth18&gt;0,HayYield18,"")</f>
        <v/>
      </c>
      <c r="E27" s="732" t="str">
        <f>IF(HayMonth18&gt;0,'Step 3. FA Balance'!J138,"")</f>
        <v/>
      </c>
      <c r="F27" s="732" t="str">
        <f>IF(HayMonth18&gt;0,'Step 3. FA Balance'!K177,"")</f>
        <v/>
      </c>
      <c r="G27" s="734" t="str">
        <f>IF(HayMonth18&gt;0,HarvestEff18,"")</f>
        <v/>
      </c>
      <c r="H27" s="732" t="str">
        <f>IF(HayMonth18&gt;0,'Step 3. FA Balance'!M177,"")</f>
        <v/>
      </c>
      <c r="I27" s="724" t="str">
        <f>IF(HayMonth18&gt;0,'Step 3. FA Balance'!N177,"")</f>
        <v/>
      </c>
      <c r="J27" s="202"/>
    </row>
    <row r="28" spans="1:10" ht="15" hidden="1">
      <c r="A28" s="728" t="str">
        <f>IF(HayMonth19&gt;0,Field19,"")</f>
        <v/>
      </c>
      <c r="B28" s="730" t="str">
        <f>IF(HayMonth19&gt;0,Kind19,"")</f>
        <v/>
      </c>
      <c r="C28" s="730" t="str">
        <f>IF(HayMonth19&gt;0,Acres19,"")</f>
        <v/>
      </c>
      <c r="D28" s="732" t="str">
        <f>IF(HayMonth19&gt;0,HayYield19,"")</f>
        <v/>
      </c>
      <c r="E28" s="732" t="str">
        <f>IF(HayMonth19&gt;0,'Step 3. FA Balance'!J140,"")</f>
        <v/>
      </c>
      <c r="F28" s="732" t="str">
        <f>IF(HayMonth19&gt;0,'Step 3. FA Balance'!K178,"")</f>
        <v/>
      </c>
      <c r="G28" s="734" t="str">
        <f>IF(HayMonth19&gt;0,HarvestEff19,"")</f>
        <v/>
      </c>
      <c r="H28" s="732" t="str">
        <f>IF(HayMonth19&gt;0,'Step 3. FA Balance'!M178,"")</f>
        <v/>
      </c>
      <c r="I28" s="724" t="str">
        <f>IF(HayMonth19&gt;0,'Step 3. FA Balance'!N178,"")</f>
        <v/>
      </c>
      <c r="J28" s="202"/>
    </row>
    <row r="29" spans="1:10" ht="15" hidden="1">
      <c r="A29" s="728" t="str">
        <f>IF(HayMonth20&gt;0,Field20,"")</f>
        <v/>
      </c>
      <c r="B29" s="730" t="str">
        <f>IF(HayMonth20&gt;0,Kind20,"")</f>
        <v/>
      </c>
      <c r="C29" s="730" t="str">
        <f>IF(HayMonth20&gt;0,Acres20,"")</f>
        <v/>
      </c>
      <c r="D29" s="732" t="str">
        <f>IF(HayMonth20&gt;0,HayYield20,"")</f>
        <v/>
      </c>
      <c r="E29" s="732" t="str">
        <f>IF(HayMonth20&gt;0,'Step 3. FA Balance'!J142,"")</f>
        <v/>
      </c>
      <c r="F29" s="732" t="str">
        <f>IF(HayMonth20&gt;0,'Step 3. FA Balance'!K179,"")</f>
        <v/>
      </c>
      <c r="G29" s="734" t="str">
        <f>IF(HayMonth20&gt;0,HarvestEff20,"")</f>
        <v/>
      </c>
      <c r="H29" s="732" t="str">
        <f>IF(HayMonth20&gt;0,'Step 3. FA Balance'!M179,"")</f>
        <v/>
      </c>
      <c r="I29" s="724" t="str">
        <f>IF(HayMonth20&gt;0,'Step 3. FA Balance'!N179,"")</f>
        <v/>
      </c>
      <c r="J29" s="202"/>
    </row>
    <row r="30" spans="1:10" ht="15" hidden="1">
      <c r="A30" s="728" t="str">
        <f>IF(HayMonth21&gt;0,Field21,"")</f>
        <v/>
      </c>
      <c r="B30" s="730" t="str">
        <f>IF(HayMonth21&gt;0,Kind21,"")</f>
        <v/>
      </c>
      <c r="C30" s="730" t="str">
        <f>IF(HayMonth21&gt;0,Acres21,"")</f>
        <v/>
      </c>
      <c r="D30" s="732" t="str">
        <f>IF(HayMonth21&gt;0,HayYield21,"")</f>
        <v/>
      </c>
      <c r="E30" s="732" t="str">
        <f>IF(HayMonth21&gt;0,'Step 3. FA Balance'!J144,"")</f>
        <v/>
      </c>
      <c r="F30" s="732" t="str">
        <f>IF(HayMonth21&gt;0,'Step 3. FA Balance'!K180,"")</f>
        <v/>
      </c>
      <c r="G30" s="734" t="str">
        <f>IF(HayMonth21&gt;0,HarvestEff21,"")</f>
        <v/>
      </c>
      <c r="H30" s="732" t="str">
        <f>IF(HayMonth21&gt;0,'Step 3. FA Balance'!M180,"")</f>
        <v/>
      </c>
      <c r="I30" s="724" t="str">
        <f>IF(HayMonth21&gt;0,'Step 3. FA Balance'!N180,"")</f>
        <v/>
      </c>
      <c r="J30" s="202"/>
    </row>
    <row r="31" spans="1:10" ht="15" hidden="1">
      <c r="A31" s="728" t="str">
        <f>IF(HayMonth22&gt;0,Field22,"")</f>
        <v/>
      </c>
      <c r="B31" s="730" t="str">
        <f>IF(HayMonth22&gt;0,Kind22,"")</f>
        <v/>
      </c>
      <c r="C31" s="730" t="str">
        <f>IF(HayMonth22&gt;0,Acres22,"")</f>
        <v/>
      </c>
      <c r="D31" s="732" t="str">
        <f>IF(HayMonth22&gt;0,HayYield22,"")</f>
        <v/>
      </c>
      <c r="E31" s="732" t="str">
        <f>IF(HayMonth22&gt;0,'Step 3. FA Balance'!J146,"")</f>
        <v/>
      </c>
      <c r="F31" s="732" t="str">
        <f>IF(HayMonth22&gt;0,'Step 3. FA Balance'!K181,"")</f>
        <v/>
      </c>
      <c r="G31" s="734" t="str">
        <f>IF(HayMonth22&gt;0,HarvestEff22,"")</f>
        <v/>
      </c>
      <c r="H31" s="732" t="str">
        <f>IF(HayMonth22&gt;0,'Step 3. FA Balance'!M181,"")</f>
        <v/>
      </c>
      <c r="I31" s="724" t="str">
        <f>IF(HayMonth22&gt;0,'Step 3. FA Balance'!N181,"")</f>
        <v/>
      </c>
      <c r="J31" s="202"/>
    </row>
    <row r="32" spans="1:10" ht="15" hidden="1">
      <c r="A32" s="728" t="str">
        <f>IF(HayMonth23&gt;0,Field23,"")</f>
        <v/>
      </c>
      <c r="B32" s="730" t="str">
        <f>IF(HayMonth23&gt;0,Kind23,"")</f>
        <v/>
      </c>
      <c r="C32" s="730" t="str">
        <f>IF(HayMonth23&gt;0,Acres23,"")</f>
        <v/>
      </c>
      <c r="D32" s="732" t="str">
        <f>IF(HayMonth23&gt;0,HayYield23,"")</f>
        <v/>
      </c>
      <c r="E32" s="732" t="str">
        <f>IF(HayMonth23&gt;0,'Step 3. FA Balance'!J148,"")</f>
        <v/>
      </c>
      <c r="F32" s="732" t="str">
        <f>IF(HayMonth23&gt;0,'Step 3. FA Balance'!K182,"")</f>
        <v/>
      </c>
      <c r="G32" s="734" t="str">
        <f>IF(HayMonth23&gt;0,HarvestEff23,"")</f>
        <v/>
      </c>
      <c r="H32" s="732" t="str">
        <f>IF(HayMonth23&gt;0,'Step 3. FA Balance'!M182,"")</f>
        <v/>
      </c>
      <c r="I32" s="724" t="str">
        <f>IF(HayMonth23&gt;0,'Step 3. FA Balance'!N182,"")</f>
        <v/>
      </c>
      <c r="J32" s="202"/>
    </row>
    <row r="33" spans="1:10" ht="15" hidden="1">
      <c r="A33" s="735" t="str">
        <f>IF(HayMonth24&gt;0,Field24,"")</f>
        <v/>
      </c>
      <c r="B33" s="736" t="str">
        <f>IF(HayMonth24&gt;0,Kind24,"")</f>
        <v/>
      </c>
      <c r="C33" s="736" t="str">
        <f>IF(HayMonth24&gt;0,Acres24,"")</f>
        <v/>
      </c>
      <c r="D33" s="737" t="str">
        <f>IF(HayMonth24&gt;0,HayYield24,"")</f>
        <v/>
      </c>
      <c r="E33" s="737" t="str">
        <f>IF(HayMonth24&gt;0,'Step 3. FA Balance'!J150,"")</f>
        <v/>
      </c>
      <c r="F33" s="737" t="str">
        <f>IF(HayMonth24&gt;0,'Step 3. FA Balance'!K183,"")</f>
        <v/>
      </c>
      <c r="G33" s="738" t="str">
        <f>IF(HayMonth24&gt;0,HarvestEff24,"")</f>
        <v/>
      </c>
      <c r="H33" s="737" t="str">
        <f>IF(HayMonth24&gt;0,'Step 3. FA Balance'!M183,"")</f>
        <v/>
      </c>
      <c r="I33" s="739" t="str">
        <f>IF(HayMonth24&gt;0,'Step 3. FA Balance'!N183,"")</f>
        <v/>
      </c>
      <c r="J33" s="202"/>
    </row>
    <row r="34" spans="1:10" ht="16" thickBot="1">
      <c r="A34" s="2652" t="s">
        <v>285</v>
      </c>
      <c r="B34" s="2653"/>
      <c r="C34" s="769">
        <f>SUM(C10:C33)</f>
        <v>0</v>
      </c>
      <c r="D34" s="769"/>
      <c r="E34" s="771"/>
      <c r="F34" s="773">
        <f>SUM(F10:F33)</f>
        <v>0</v>
      </c>
      <c r="G34" s="772"/>
      <c r="H34" s="773">
        <f>SUM(H10:H33)</f>
        <v>0</v>
      </c>
      <c r="I34" s="740"/>
      <c r="J34" s="725"/>
    </row>
    <row r="35" spans="1:10" ht="16" thickBot="1">
      <c r="A35" s="755"/>
      <c r="B35" s="754"/>
      <c r="C35" s="717"/>
      <c r="D35" s="717"/>
      <c r="E35" s="717"/>
      <c r="F35" s="717"/>
      <c r="G35" s="717"/>
      <c r="H35" s="717"/>
      <c r="I35" s="716"/>
      <c r="J35" s="716"/>
    </row>
    <row r="36" spans="1:10" ht="17" thickBot="1">
      <c r="A36" s="2654" t="s">
        <v>547</v>
      </c>
      <c r="B36" s="2655"/>
      <c r="C36" s="2655"/>
      <c r="D36" s="2655"/>
      <c r="E36" s="2655"/>
      <c r="F36" s="2655"/>
      <c r="G36" s="2655"/>
      <c r="H36" s="2655"/>
      <c r="I36" s="2656"/>
      <c r="J36" s="202"/>
    </row>
    <row r="37" spans="1:10" ht="15">
      <c r="A37" s="756"/>
      <c r="B37" s="747"/>
      <c r="C37" s="757" t="s">
        <v>116</v>
      </c>
      <c r="D37" s="747"/>
      <c r="E37" s="757"/>
      <c r="F37" s="747" t="s">
        <v>76</v>
      </c>
      <c r="G37" s="757" t="s">
        <v>116</v>
      </c>
      <c r="H37" s="750"/>
      <c r="I37" s="758" t="s">
        <v>58</v>
      </c>
      <c r="J37" s="202"/>
    </row>
    <row r="38" spans="1:10" ht="15">
      <c r="A38" s="720" t="s">
        <v>57</v>
      </c>
      <c r="B38" s="765" t="s">
        <v>79</v>
      </c>
      <c r="C38" s="717" t="s">
        <v>63</v>
      </c>
      <c r="D38" s="748" t="s">
        <v>447</v>
      </c>
      <c r="E38" s="719" t="s">
        <v>448</v>
      </c>
      <c r="F38" s="748" t="s">
        <v>64</v>
      </c>
      <c r="G38" s="717" t="s">
        <v>117</v>
      </c>
      <c r="H38" s="748" t="s">
        <v>286</v>
      </c>
      <c r="I38" s="721" t="s">
        <v>125</v>
      </c>
      <c r="J38" s="202"/>
    </row>
    <row r="39" spans="1:10" ht="16">
      <c r="A39" s="759" t="s">
        <v>36</v>
      </c>
      <c r="B39" s="766"/>
      <c r="C39" s="760" t="s">
        <v>80</v>
      </c>
      <c r="D39" s="767" t="s">
        <v>283</v>
      </c>
      <c r="E39" s="761" t="s">
        <v>449</v>
      </c>
      <c r="F39" s="767" t="s">
        <v>81</v>
      </c>
      <c r="G39" s="760" t="s">
        <v>82</v>
      </c>
      <c r="H39" s="767" t="s">
        <v>81</v>
      </c>
      <c r="I39" s="762" t="s">
        <v>279</v>
      </c>
      <c r="J39" s="202"/>
    </row>
    <row r="40" spans="1:10" ht="15">
      <c r="A40" s="723">
        <f>HayOnlyField1</f>
        <v>0</v>
      </c>
      <c r="B40" s="730">
        <f>HayOnlyKind1</f>
        <v>0</v>
      </c>
      <c r="C40" s="554">
        <f>HayOnlyAcres1</f>
        <v>0</v>
      </c>
      <c r="D40" s="732">
        <f>HayOnlyYield1</f>
        <v>0</v>
      </c>
      <c r="E40" s="554">
        <f>HayOnlyMonth1</f>
        <v>0</v>
      </c>
      <c r="F40" s="732" t="e">
        <f>'Step 3. FA Balance'!L213</f>
        <v>#DIV/0!</v>
      </c>
      <c r="G40" s="554">
        <f>HayOnlyEff1</f>
        <v>0</v>
      </c>
      <c r="H40" s="732">
        <f>'Step 3. FA Balance'!N213</f>
        <v>0</v>
      </c>
      <c r="I40" s="726" t="str">
        <f>'Step 3. FA Balance'!O213</f>
        <v/>
      </c>
      <c r="J40" s="202"/>
    </row>
    <row r="41" spans="1:10" ht="15" hidden="1">
      <c r="A41" s="723">
        <f>HayOnlyField2</f>
        <v>0</v>
      </c>
      <c r="B41" s="730">
        <f>HayOnlyKind2</f>
        <v>0</v>
      </c>
      <c r="C41" s="554">
        <f>HayOnlyAcres2</f>
        <v>0</v>
      </c>
      <c r="D41" s="732">
        <f>HayOnlyYield2</f>
        <v>0</v>
      </c>
      <c r="E41" s="554">
        <f>HayOnlyMonth2</f>
        <v>0</v>
      </c>
      <c r="F41" s="732" t="e">
        <f>'Step 3. FA Balance'!L214</f>
        <v>#DIV/0!</v>
      </c>
      <c r="G41" s="554">
        <f>HayOnlyEff2</f>
        <v>0</v>
      </c>
      <c r="H41" s="732">
        <f>'Step 3. FA Balance'!N214</f>
        <v>0</v>
      </c>
      <c r="I41" s="726" t="str">
        <f>'Step 3. FA Balance'!O214</f>
        <v/>
      </c>
      <c r="J41" s="202"/>
    </row>
    <row r="42" spans="1:10" ht="15" hidden="1">
      <c r="A42" s="723">
        <f>HayOnlyField3</f>
        <v>0</v>
      </c>
      <c r="B42" s="730">
        <f>HayOnlyKind3</f>
        <v>0</v>
      </c>
      <c r="C42" s="554">
        <f>HayOnlyAcres3</f>
        <v>0</v>
      </c>
      <c r="D42" s="732">
        <f>HayOnlyYield3</f>
        <v>0</v>
      </c>
      <c r="E42" s="554">
        <f>HayOnlyMonth3</f>
        <v>0</v>
      </c>
      <c r="F42" s="732" t="e">
        <f>'Step 3. FA Balance'!L215</f>
        <v>#DIV/0!</v>
      </c>
      <c r="G42" s="554">
        <f>HayOnlyEff3</f>
        <v>0</v>
      </c>
      <c r="H42" s="732">
        <f>'Step 3. FA Balance'!N215</f>
        <v>0</v>
      </c>
      <c r="I42" s="726" t="str">
        <f>'Step 3. FA Balance'!O215</f>
        <v/>
      </c>
      <c r="J42" s="202"/>
    </row>
    <row r="43" spans="1:10" ht="15" hidden="1">
      <c r="A43" s="723">
        <f>HayOnlyField4</f>
        <v>0</v>
      </c>
      <c r="B43" s="730">
        <f>HayOnlyKind4</f>
        <v>0</v>
      </c>
      <c r="C43" s="554">
        <f>HayOnlyAcres4</f>
        <v>0</v>
      </c>
      <c r="D43" s="732">
        <f>HayOnlyYield4</f>
        <v>0</v>
      </c>
      <c r="E43" s="554">
        <f>HayOnlyMonth4</f>
        <v>0</v>
      </c>
      <c r="F43" s="732" t="e">
        <f>'Step 3. FA Balance'!L216</f>
        <v>#DIV/0!</v>
      </c>
      <c r="G43" s="554">
        <f>HayOnlyEff4</f>
        <v>0</v>
      </c>
      <c r="H43" s="732">
        <f>'Step 3. FA Balance'!N216</f>
        <v>0</v>
      </c>
      <c r="I43" s="726" t="str">
        <f>'Step 3. FA Balance'!O216</f>
        <v/>
      </c>
      <c r="J43" s="202"/>
    </row>
    <row r="44" spans="1:10" ht="15" hidden="1">
      <c r="A44" s="723">
        <f>HayOnlyField5</f>
        <v>0</v>
      </c>
      <c r="B44" s="730">
        <f>HayOnlyKind5</f>
        <v>0</v>
      </c>
      <c r="C44" s="554">
        <f>HayOnlyAcres5</f>
        <v>0</v>
      </c>
      <c r="D44" s="732">
        <f>HayOnlyYield5</f>
        <v>0</v>
      </c>
      <c r="E44" s="554">
        <f>HayOnlyMonth5</f>
        <v>0</v>
      </c>
      <c r="F44" s="732" t="e">
        <f>'Step 3. FA Balance'!L217</f>
        <v>#DIV/0!</v>
      </c>
      <c r="G44" s="554">
        <f>HayOnlyEff5</f>
        <v>0</v>
      </c>
      <c r="H44" s="732">
        <f>'Step 3. FA Balance'!N217</f>
        <v>0</v>
      </c>
      <c r="I44" s="726" t="str">
        <f>'Step 3. FA Balance'!O217</f>
        <v/>
      </c>
      <c r="J44" s="202"/>
    </row>
    <row r="45" spans="1:10" ht="15" hidden="1">
      <c r="A45" s="723">
        <f>HayOnlyField6</f>
        <v>0</v>
      </c>
      <c r="B45" s="730">
        <f>HayOnlyKind6</f>
        <v>0</v>
      </c>
      <c r="C45" s="554">
        <f>HayOnlyAcres6</f>
        <v>0</v>
      </c>
      <c r="D45" s="732">
        <f>HayOnlyYield6</f>
        <v>0</v>
      </c>
      <c r="E45" s="554">
        <f>HayOnlyMonth6</f>
        <v>0</v>
      </c>
      <c r="F45" s="732" t="e">
        <f>'Step 3. FA Balance'!L218</f>
        <v>#DIV/0!</v>
      </c>
      <c r="G45" s="554">
        <f>HayOnlyEff6</f>
        <v>0</v>
      </c>
      <c r="H45" s="732">
        <f>'Step 3. FA Balance'!N218</f>
        <v>0</v>
      </c>
      <c r="I45" s="726" t="str">
        <f>'Step 3. FA Balance'!O218</f>
        <v/>
      </c>
      <c r="J45" s="202"/>
    </row>
    <row r="46" spans="1:10" ht="15" hidden="1">
      <c r="A46" s="723">
        <f>HayOnlyField7</f>
        <v>0</v>
      </c>
      <c r="B46" s="730">
        <f>HayOnlyKind7</f>
        <v>0</v>
      </c>
      <c r="C46" s="554">
        <f>HayOnlyAcres7</f>
        <v>0</v>
      </c>
      <c r="D46" s="732">
        <f>HayOnlyYield7</f>
        <v>0</v>
      </c>
      <c r="E46" s="554">
        <f>HayOnlyMonth7</f>
        <v>0</v>
      </c>
      <c r="F46" s="732" t="e">
        <f>'Step 3. FA Balance'!L219</f>
        <v>#DIV/0!</v>
      </c>
      <c r="G46" s="554">
        <f>HayOnlyEff7</f>
        <v>0</v>
      </c>
      <c r="H46" s="732">
        <f>'Step 3. FA Balance'!N219</f>
        <v>0</v>
      </c>
      <c r="I46" s="726" t="str">
        <f>'Step 3. FA Balance'!O219</f>
        <v/>
      </c>
      <c r="J46" s="202"/>
    </row>
    <row r="47" spans="1:10" ht="15" hidden="1">
      <c r="A47" s="723">
        <f>HayOnlyField8</f>
        <v>0</v>
      </c>
      <c r="B47" s="730">
        <f>HayOnlyKind8</f>
        <v>0</v>
      </c>
      <c r="C47" s="554">
        <f>HayOnlyAcres8</f>
        <v>0</v>
      </c>
      <c r="D47" s="732">
        <f>HayOnlyYield8</f>
        <v>0</v>
      </c>
      <c r="E47" s="554">
        <f>HayOnlyMonth8</f>
        <v>0</v>
      </c>
      <c r="F47" s="732" t="e">
        <f>'Step 3. FA Balance'!L220</f>
        <v>#DIV/0!</v>
      </c>
      <c r="G47" s="554">
        <f>HayOnlyEff8</f>
        <v>0</v>
      </c>
      <c r="H47" s="732">
        <f>'Step 3. FA Balance'!N220</f>
        <v>0</v>
      </c>
      <c r="I47" s="726" t="str">
        <f>'Step 3. FA Balance'!O220</f>
        <v/>
      </c>
      <c r="J47" s="202"/>
    </row>
    <row r="48" spans="1:10" ht="15" hidden="1">
      <c r="A48" s="723">
        <f>HayOnlyField9</f>
        <v>0</v>
      </c>
      <c r="B48" s="730">
        <f>HayOnlyKind9</f>
        <v>0</v>
      </c>
      <c r="C48" s="554">
        <f>HayOnlyAcres9</f>
        <v>0</v>
      </c>
      <c r="D48" s="732">
        <f>HayOnlyYield9</f>
        <v>0</v>
      </c>
      <c r="E48" s="554">
        <f>HayOnlyMonth9</f>
        <v>0</v>
      </c>
      <c r="F48" s="732" t="e">
        <f>'Step 3. FA Balance'!L221</f>
        <v>#DIV/0!</v>
      </c>
      <c r="G48" s="554">
        <f>HayOnlyEff9</f>
        <v>0</v>
      </c>
      <c r="H48" s="732">
        <f>'Step 3. FA Balance'!N221</f>
        <v>0</v>
      </c>
      <c r="I48" s="726" t="str">
        <f>'Step 3. FA Balance'!O221</f>
        <v/>
      </c>
      <c r="J48" s="202"/>
    </row>
    <row r="49" spans="1:10" ht="15" hidden="1">
      <c r="A49" s="763">
        <f>HayOnlyField10</f>
        <v>0</v>
      </c>
      <c r="B49" s="736">
        <f>HayOnlyKind10</f>
        <v>0</v>
      </c>
      <c r="C49" s="768">
        <f>HayOnlyAcres10</f>
        <v>0</v>
      </c>
      <c r="D49" s="737">
        <f>HayOnlyYield10</f>
        <v>0</v>
      </c>
      <c r="E49" s="768">
        <f>HayOnlyMonth10</f>
        <v>0</v>
      </c>
      <c r="F49" s="737" t="e">
        <f>'Step 3. FA Balance'!L222</f>
        <v>#DIV/0!</v>
      </c>
      <c r="G49" s="768">
        <f>HayOnlyEff10</f>
        <v>0</v>
      </c>
      <c r="H49" s="737">
        <f>'Step 3. FA Balance'!N222</f>
        <v>0</v>
      </c>
      <c r="I49" s="764" t="str">
        <f>'Step 3. FA Balance'!O222</f>
        <v/>
      </c>
      <c r="J49" s="202"/>
    </row>
    <row r="50" spans="1:10" ht="16" thickBot="1">
      <c r="A50" s="2652" t="s">
        <v>285</v>
      </c>
      <c r="B50" s="2653"/>
      <c r="C50" s="769">
        <f>SUM(C40:C49)</f>
        <v>0</v>
      </c>
      <c r="D50" s="769"/>
      <c r="E50" s="773"/>
      <c r="F50" s="769" t="e">
        <f>SUM(F40:F49)</f>
        <v>#DIV/0!</v>
      </c>
      <c r="G50" s="769"/>
      <c r="H50" s="769">
        <f>SUM(H40:H49)</f>
        <v>0</v>
      </c>
      <c r="I50" s="770"/>
      <c r="J50" s="202"/>
    </row>
    <row r="51" spans="1:10">
      <c r="A51" s="202"/>
      <c r="B51" s="202"/>
      <c r="C51" s="202"/>
      <c r="D51" s="202"/>
      <c r="E51" s="202"/>
      <c r="F51" s="202"/>
      <c r="G51" s="202"/>
      <c r="H51" s="202"/>
      <c r="I51" s="202"/>
      <c r="J51" s="202"/>
    </row>
  </sheetData>
  <mergeCells count="5">
    <mergeCell ref="D7:D8"/>
    <mergeCell ref="A6:I6"/>
    <mergeCell ref="A34:B34"/>
    <mergeCell ref="A36:I36"/>
    <mergeCell ref="A50:B50"/>
  </mergeCells>
  <printOptions horizontalCentered="1"/>
  <pageMargins left="0.2" right="0.2"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615</vt:i4>
      </vt:variant>
    </vt:vector>
  </HeadingPairs>
  <TitlesOfParts>
    <vt:vector size="642" baseType="lpstr">
      <vt:lpstr>Step 1. Field Inventory</vt:lpstr>
      <vt:lpstr>Step 1. CPGL Guide</vt:lpstr>
      <vt:lpstr>Climate Instructions</vt:lpstr>
      <vt:lpstr>Step 2. Production Estimate</vt:lpstr>
      <vt:lpstr>ForageProductionModel</vt:lpstr>
      <vt:lpstr>Step 3. FA Balance</vt:lpstr>
      <vt:lpstr>528 IR</vt:lpstr>
      <vt:lpstr>RecordKeeping Wksht Option 1</vt:lpstr>
      <vt:lpstr>RecordKeeping Wksht Option 2 </vt:lpstr>
      <vt:lpstr>PI-Range-6</vt:lpstr>
      <vt:lpstr>PI-Range-7</vt:lpstr>
      <vt:lpstr>Cert 414 Proper Grazing Use</vt:lpstr>
      <vt:lpstr>Step 4. Review Summary</vt:lpstr>
      <vt:lpstr>Step 5. Review TimeControlSched</vt:lpstr>
      <vt:lpstr>Step 6. Certification</vt:lpstr>
      <vt:lpstr>ForageGrowthCurves</vt:lpstr>
      <vt:lpstr>416 Browse Resource Eval</vt:lpstr>
      <vt:lpstr>Explanation sheet for L.O. </vt:lpstr>
      <vt:lpstr>Instructions</vt:lpstr>
      <vt:lpstr>Calculations</vt:lpstr>
      <vt:lpstr>PastureGrazingEfficiency</vt:lpstr>
      <vt:lpstr>HayList</vt:lpstr>
      <vt:lpstr>FSGTables</vt:lpstr>
      <vt:lpstr>PrintableLivestockInventory</vt:lpstr>
      <vt:lpstr>PrintableGrazingInventory</vt:lpstr>
      <vt:lpstr>PrintableSummaryBalance</vt:lpstr>
      <vt:lpstr>PrintableHayInventory</vt:lpstr>
      <vt:lpstr>Acres1</vt:lpstr>
      <vt:lpstr>Acres10</vt:lpstr>
      <vt:lpstr>Acres11</vt:lpstr>
      <vt:lpstr>Acres12</vt:lpstr>
      <vt:lpstr>Acres13</vt:lpstr>
      <vt:lpstr>Acres14</vt:lpstr>
      <vt:lpstr>Acres15</vt:lpstr>
      <vt:lpstr>Acres16</vt:lpstr>
      <vt:lpstr>Acres17</vt:lpstr>
      <vt:lpstr>Acres18</vt:lpstr>
      <vt:lpstr>Acres19</vt:lpstr>
      <vt:lpstr>Acres2</vt:lpstr>
      <vt:lpstr>Acres20</vt:lpstr>
      <vt:lpstr>Acres21</vt:lpstr>
      <vt:lpstr>Acres22</vt:lpstr>
      <vt:lpstr>Acres23</vt:lpstr>
      <vt:lpstr>Acres24</vt:lpstr>
      <vt:lpstr>Acres3</vt:lpstr>
      <vt:lpstr>Acres4</vt:lpstr>
      <vt:lpstr>Acres5</vt:lpstr>
      <vt:lpstr>Acres6</vt:lpstr>
      <vt:lpstr>Acres7</vt:lpstr>
      <vt:lpstr>Acres8</vt:lpstr>
      <vt:lpstr>Acres9</vt:lpstr>
      <vt:lpstr>AdvDisAdv</vt:lpstr>
      <vt:lpstr>AltAcres1</vt:lpstr>
      <vt:lpstr>AltAcres2</vt:lpstr>
      <vt:lpstr>AltAcres3</vt:lpstr>
      <vt:lpstr>AltAcres4</vt:lpstr>
      <vt:lpstr>AltAcres5</vt:lpstr>
      <vt:lpstr>AltAcres6</vt:lpstr>
      <vt:lpstr>AltEff1</vt:lpstr>
      <vt:lpstr>AltEff2</vt:lpstr>
      <vt:lpstr>AltEff3</vt:lpstr>
      <vt:lpstr>AltEff4</vt:lpstr>
      <vt:lpstr>AltEff5</vt:lpstr>
      <vt:lpstr>AltEff6</vt:lpstr>
      <vt:lpstr>AltField1</vt:lpstr>
      <vt:lpstr>AltField2</vt:lpstr>
      <vt:lpstr>AltField3</vt:lpstr>
      <vt:lpstr>AltField4</vt:lpstr>
      <vt:lpstr>AltField5</vt:lpstr>
      <vt:lpstr>AltField6</vt:lpstr>
      <vt:lpstr>AltKind1</vt:lpstr>
      <vt:lpstr>AltKind2</vt:lpstr>
      <vt:lpstr>AltKind3</vt:lpstr>
      <vt:lpstr>AltKind4</vt:lpstr>
      <vt:lpstr>AltKind5</vt:lpstr>
      <vt:lpstr>AltKind6</vt:lpstr>
      <vt:lpstr>AltPast1</vt:lpstr>
      <vt:lpstr>AltPast2</vt:lpstr>
      <vt:lpstr>AltPast3</vt:lpstr>
      <vt:lpstr>AltPast4</vt:lpstr>
      <vt:lpstr>AltPast5</vt:lpstr>
      <vt:lpstr>AltPast6</vt:lpstr>
      <vt:lpstr>AltPastDemand</vt:lpstr>
      <vt:lpstr>AltPastSum</vt:lpstr>
      <vt:lpstr>AltPasture</vt:lpstr>
      <vt:lpstr>AltPastureNo</vt:lpstr>
      <vt:lpstr>AltProduction</vt:lpstr>
      <vt:lpstr>AltYield1</vt:lpstr>
      <vt:lpstr>AltYield2</vt:lpstr>
      <vt:lpstr>AltYield3</vt:lpstr>
      <vt:lpstr>AltYield4</vt:lpstr>
      <vt:lpstr>AltYield5</vt:lpstr>
      <vt:lpstr>AltYield6</vt:lpstr>
      <vt:lpstr>AnnualDairy</vt:lpstr>
      <vt:lpstr>AnnualDairyCheck</vt:lpstr>
      <vt:lpstr>Bulls</vt:lpstr>
      <vt:lpstr>BullsAltPast1</vt:lpstr>
      <vt:lpstr>BullsAltPast2</vt:lpstr>
      <vt:lpstr>BullsCheck</vt:lpstr>
      <vt:lpstr>BullsDryLot1</vt:lpstr>
      <vt:lpstr>BullsDryLot2</vt:lpstr>
      <vt:lpstr>BullsInput</vt:lpstr>
      <vt:lpstr>BullsPast</vt:lpstr>
      <vt:lpstr>BullsSummary</vt:lpstr>
      <vt:lpstr>CC1AltPast</vt:lpstr>
      <vt:lpstr>CC1DryLot</vt:lpstr>
      <vt:lpstr>CC1Past</vt:lpstr>
      <vt:lpstr>CC2AltPast</vt:lpstr>
      <vt:lpstr>CC2DryLot</vt:lpstr>
      <vt:lpstr>CC2Past</vt:lpstr>
      <vt:lpstr>CC3AltPast</vt:lpstr>
      <vt:lpstr>CC3DryLot</vt:lpstr>
      <vt:lpstr>CC3Past</vt:lpstr>
      <vt:lpstr>Contents</vt:lpstr>
      <vt:lpstr>County</vt:lpstr>
      <vt:lpstr>CowCalf1</vt:lpstr>
      <vt:lpstr>CowCalf1Check</vt:lpstr>
      <vt:lpstr>CowCalf1Input</vt:lpstr>
      <vt:lpstr>CowCalf2</vt:lpstr>
      <vt:lpstr>CowCalf2Check</vt:lpstr>
      <vt:lpstr>CowCalf2Input</vt:lpstr>
      <vt:lpstr>CowCalf3</vt:lpstr>
      <vt:lpstr>CowCalf3Check</vt:lpstr>
      <vt:lpstr>CowCalf3Input</vt:lpstr>
      <vt:lpstr>CowCalfSum1</vt:lpstr>
      <vt:lpstr>CowCalfSum2</vt:lpstr>
      <vt:lpstr>CowCalfSum3</vt:lpstr>
      <vt:lpstr>Dairy1</vt:lpstr>
      <vt:lpstr>Dairy1Input</vt:lpstr>
      <vt:lpstr>Dairy2</vt:lpstr>
      <vt:lpstr>DairyAlt</vt:lpstr>
      <vt:lpstr>DairySummary1</vt:lpstr>
      <vt:lpstr>DairySummary2</vt:lpstr>
      <vt:lpstr>Date</vt:lpstr>
      <vt:lpstr>DemandAlt</vt:lpstr>
      <vt:lpstr>DetailedSum</vt:lpstr>
      <vt:lpstr>DryDairyDryLot</vt:lpstr>
      <vt:lpstr>DryDairyInput</vt:lpstr>
      <vt:lpstr>DryDairyPast</vt:lpstr>
      <vt:lpstr>DryLot</vt:lpstr>
      <vt:lpstr>DryLotSum</vt:lpstr>
      <vt:lpstr>Efficiency1</vt:lpstr>
      <vt:lpstr>Efficiency10</vt:lpstr>
      <vt:lpstr>Efficiency11</vt:lpstr>
      <vt:lpstr>Efficiency12</vt:lpstr>
      <vt:lpstr>Efficiency13</vt:lpstr>
      <vt:lpstr>Efficiency14</vt:lpstr>
      <vt:lpstr>Efficiency15</vt:lpstr>
      <vt:lpstr>Efficiency16</vt:lpstr>
      <vt:lpstr>Efficiency17</vt:lpstr>
      <vt:lpstr>Efficiency18</vt:lpstr>
      <vt:lpstr>Efficiency19</vt:lpstr>
      <vt:lpstr>Efficiency2</vt:lpstr>
      <vt:lpstr>Efficiency20</vt:lpstr>
      <vt:lpstr>Efficiency21</vt:lpstr>
      <vt:lpstr>Efficiency22</vt:lpstr>
      <vt:lpstr>Efficiency23</vt:lpstr>
      <vt:lpstr>Efficiency24</vt:lpstr>
      <vt:lpstr>Efficiency3</vt:lpstr>
      <vt:lpstr>Efficiency4</vt:lpstr>
      <vt:lpstr>Efficiency5</vt:lpstr>
      <vt:lpstr>Efficiency6</vt:lpstr>
      <vt:lpstr>Efficiency7</vt:lpstr>
      <vt:lpstr>Efficiency8</vt:lpstr>
      <vt:lpstr>Efficiency9</vt:lpstr>
      <vt:lpstr>EnteringData</vt:lpstr>
      <vt:lpstr>Field</vt:lpstr>
      <vt:lpstr>Field1</vt:lpstr>
      <vt:lpstr>Field10</vt:lpstr>
      <vt:lpstr>Field11</vt:lpstr>
      <vt:lpstr>Field12</vt:lpstr>
      <vt:lpstr>Field13</vt:lpstr>
      <vt:lpstr>Field14</vt:lpstr>
      <vt:lpstr>Field15</vt:lpstr>
      <vt:lpstr>Field16</vt:lpstr>
      <vt:lpstr>Field17</vt:lpstr>
      <vt:lpstr>Field18</vt:lpstr>
      <vt:lpstr>Field19</vt:lpstr>
      <vt:lpstr>Field2</vt:lpstr>
      <vt:lpstr>Field20</vt:lpstr>
      <vt:lpstr>Field21</vt:lpstr>
      <vt:lpstr>Field22</vt:lpstr>
      <vt:lpstr>Field23</vt:lpstr>
      <vt:lpstr>Field24</vt:lpstr>
      <vt:lpstr>Field3</vt:lpstr>
      <vt:lpstr>Field4</vt:lpstr>
      <vt:lpstr>Field5</vt:lpstr>
      <vt:lpstr>Field6</vt:lpstr>
      <vt:lpstr>Field7</vt:lpstr>
      <vt:lpstr>Field8</vt:lpstr>
      <vt:lpstr>Field9</vt:lpstr>
      <vt:lpstr>FieldAnnualDairy</vt:lpstr>
      <vt:lpstr>FieldCowCalf</vt:lpstr>
      <vt:lpstr>FieldHorses</vt:lpstr>
      <vt:lpstr>FieldSeasonalDairy</vt:lpstr>
      <vt:lpstr>FieldSheep</vt:lpstr>
      <vt:lpstr>FieldStockers</vt:lpstr>
      <vt:lpstr>FORAGE</vt:lpstr>
      <vt:lpstr>FORAGE2</vt:lpstr>
      <vt:lpstr>ForageList</vt:lpstr>
      <vt:lpstr>ForageProduction</vt:lpstr>
      <vt:lpstr>General</vt:lpstr>
      <vt:lpstr>Goats</vt:lpstr>
      <vt:lpstr>GoatsCheck</vt:lpstr>
      <vt:lpstr>GoatsInput</vt:lpstr>
      <vt:lpstr>GoatsSummary</vt:lpstr>
      <vt:lpstr>Graph</vt:lpstr>
      <vt:lpstr>GrazingSystem</vt:lpstr>
      <vt:lpstr>GrazingSystemSum</vt:lpstr>
      <vt:lpstr>HarvestEff1</vt:lpstr>
      <vt:lpstr>HarvestEff10</vt:lpstr>
      <vt:lpstr>HarvestEff11</vt:lpstr>
      <vt:lpstr>HarvestEff12</vt:lpstr>
      <vt:lpstr>HarvestEff13</vt:lpstr>
      <vt:lpstr>HarvestEff14</vt:lpstr>
      <vt:lpstr>HarvestEff15</vt:lpstr>
      <vt:lpstr>HarvestEff16</vt:lpstr>
      <vt:lpstr>HarvestEff17</vt:lpstr>
      <vt:lpstr>HarvestEff18</vt:lpstr>
      <vt:lpstr>HarvestEff19</vt:lpstr>
      <vt:lpstr>HarvestEff2</vt:lpstr>
      <vt:lpstr>HarvestEff20</vt:lpstr>
      <vt:lpstr>HarvestEff21</vt:lpstr>
      <vt:lpstr>HarvestEff22</vt:lpstr>
      <vt:lpstr>HarvestEff23</vt:lpstr>
      <vt:lpstr>HarvestEff24</vt:lpstr>
      <vt:lpstr>HarvestEff3</vt:lpstr>
      <vt:lpstr>HarvestEff4</vt:lpstr>
      <vt:lpstr>HarvestEff5</vt:lpstr>
      <vt:lpstr>HarvestEff6</vt:lpstr>
      <vt:lpstr>HarvestEff7</vt:lpstr>
      <vt:lpstr>HarvestEff8</vt:lpstr>
      <vt:lpstr>HarvestEff9</vt:lpstr>
      <vt:lpstr>HAY</vt:lpstr>
      <vt:lpstr>HayList</vt:lpstr>
      <vt:lpstr>HayMonth1</vt:lpstr>
      <vt:lpstr>HayMonth10</vt:lpstr>
      <vt:lpstr>HayMonth11</vt:lpstr>
      <vt:lpstr>HayMonth12</vt:lpstr>
      <vt:lpstr>HayMonth13</vt:lpstr>
      <vt:lpstr>HayMonth14</vt:lpstr>
      <vt:lpstr>HayMonth15</vt:lpstr>
      <vt:lpstr>HayMonth16</vt:lpstr>
      <vt:lpstr>HayMonth17</vt:lpstr>
      <vt:lpstr>HayMonth18</vt:lpstr>
      <vt:lpstr>HayMonth19</vt:lpstr>
      <vt:lpstr>HayMonth2</vt:lpstr>
      <vt:lpstr>HayMonth20</vt:lpstr>
      <vt:lpstr>HayMonth21</vt:lpstr>
      <vt:lpstr>HayMonth22</vt:lpstr>
      <vt:lpstr>HayMonth23</vt:lpstr>
      <vt:lpstr>HayMonth24</vt:lpstr>
      <vt:lpstr>HayMonth3</vt:lpstr>
      <vt:lpstr>HayMonth4</vt:lpstr>
      <vt:lpstr>HayMonth5</vt:lpstr>
      <vt:lpstr>HayMonth6</vt:lpstr>
      <vt:lpstr>HayMonth7</vt:lpstr>
      <vt:lpstr>HayMonth8</vt:lpstr>
      <vt:lpstr>HayMonth9</vt:lpstr>
      <vt:lpstr>HayMonthMenu</vt:lpstr>
      <vt:lpstr>HayOnly1</vt:lpstr>
      <vt:lpstr>HayOnly10</vt:lpstr>
      <vt:lpstr>HayOnly2</vt:lpstr>
      <vt:lpstr>HayOnly3</vt:lpstr>
      <vt:lpstr>HayOnly4</vt:lpstr>
      <vt:lpstr>HayOnly5</vt:lpstr>
      <vt:lpstr>HayOnly6</vt:lpstr>
      <vt:lpstr>HayOnly7</vt:lpstr>
      <vt:lpstr>HayOnly8</vt:lpstr>
      <vt:lpstr>HayOnly9</vt:lpstr>
      <vt:lpstr>HayOnlyAcres1</vt:lpstr>
      <vt:lpstr>HayOnlyAcres10</vt:lpstr>
      <vt:lpstr>HayOnlyAcres2</vt:lpstr>
      <vt:lpstr>HayOnlyAcres3</vt:lpstr>
      <vt:lpstr>HayOnlyAcres4</vt:lpstr>
      <vt:lpstr>HayOnlyAcres5</vt:lpstr>
      <vt:lpstr>HayOnlyAcres6</vt:lpstr>
      <vt:lpstr>HayOnlyAcres7</vt:lpstr>
      <vt:lpstr>HayOnlyAcres8</vt:lpstr>
      <vt:lpstr>HayOnlyAcres9</vt:lpstr>
      <vt:lpstr>HayOnlyEff1</vt:lpstr>
      <vt:lpstr>HayOnlyEff10</vt:lpstr>
      <vt:lpstr>HayOnlyEff2</vt:lpstr>
      <vt:lpstr>HayOnlyEff3</vt:lpstr>
      <vt:lpstr>HayOnlyEff4</vt:lpstr>
      <vt:lpstr>HayOnlyEff5</vt:lpstr>
      <vt:lpstr>HayOnlyEff6</vt:lpstr>
      <vt:lpstr>HayOnlyEff7</vt:lpstr>
      <vt:lpstr>HayOnlyEff8</vt:lpstr>
      <vt:lpstr>HayOnlyEff9</vt:lpstr>
      <vt:lpstr>HayOnlyField1</vt:lpstr>
      <vt:lpstr>HayOnlyField10</vt:lpstr>
      <vt:lpstr>HayOnlyField2</vt:lpstr>
      <vt:lpstr>HayOnlyField3</vt:lpstr>
      <vt:lpstr>HayOnlyField4</vt:lpstr>
      <vt:lpstr>HayOnlyField5</vt:lpstr>
      <vt:lpstr>HayOnlyField6</vt:lpstr>
      <vt:lpstr>HayOnlyField7</vt:lpstr>
      <vt:lpstr>HayOnlyField8</vt:lpstr>
      <vt:lpstr>HayOnlyField9</vt:lpstr>
      <vt:lpstr>HayOnlyKind1</vt:lpstr>
      <vt:lpstr>HayOnlyKind10</vt:lpstr>
      <vt:lpstr>HayOnlyKind2</vt:lpstr>
      <vt:lpstr>HayOnlyKind3</vt:lpstr>
      <vt:lpstr>HayOnlyKind4</vt:lpstr>
      <vt:lpstr>HayOnlyKind5</vt:lpstr>
      <vt:lpstr>HayOnlyKind6</vt:lpstr>
      <vt:lpstr>HayOnlyKind7</vt:lpstr>
      <vt:lpstr>HayOnlyKind8</vt:lpstr>
      <vt:lpstr>HayOnlyKind9</vt:lpstr>
      <vt:lpstr>HayOnlyMonth1</vt:lpstr>
      <vt:lpstr>HayOnlyMonth10</vt:lpstr>
      <vt:lpstr>HayOnlyMonth2</vt:lpstr>
      <vt:lpstr>HayOnlyMonth3</vt:lpstr>
      <vt:lpstr>HayOnlyMonth4</vt:lpstr>
      <vt:lpstr>HayOnlyMonth5</vt:lpstr>
      <vt:lpstr>HayOnlyMonth6</vt:lpstr>
      <vt:lpstr>HayOnlyMonth7</vt:lpstr>
      <vt:lpstr>HayOnlyMonth8</vt:lpstr>
      <vt:lpstr>HayOnlyMonth9</vt:lpstr>
      <vt:lpstr>HayOnlyYield1</vt:lpstr>
      <vt:lpstr>HayOnlyYield10</vt:lpstr>
      <vt:lpstr>HayOnlyYield2</vt:lpstr>
      <vt:lpstr>HayOnlyYield3</vt:lpstr>
      <vt:lpstr>HayOnlyYield4</vt:lpstr>
      <vt:lpstr>HayOnlyYield5</vt:lpstr>
      <vt:lpstr>HayOnlyYield6</vt:lpstr>
      <vt:lpstr>HayOnlyYield7</vt:lpstr>
      <vt:lpstr>HayOnlyYield8</vt:lpstr>
      <vt:lpstr>HayOnlyYield9</vt:lpstr>
      <vt:lpstr>HayProd</vt:lpstr>
      <vt:lpstr>HayRow1</vt:lpstr>
      <vt:lpstr>HayRow10</vt:lpstr>
      <vt:lpstr>HayRow11</vt:lpstr>
      <vt:lpstr>HayRow12</vt:lpstr>
      <vt:lpstr>HayRow13</vt:lpstr>
      <vt:lpstr>HayRow14</vt:lpstr>
      <vt:lpstr>HayRow15</vt:lpstr>
      <vt:lpstr>HayRow16</vt:lpstr>
      <vt:lpstr>HayRow17</vt:lpstr>
      <vt:lpstr>HayRow18</vt:lpstr>
      <vt:lpstr>HayRow19</vt:lpstr>
      <vt:lpstr>HayRow2</vt:lpstr>
      <vt:lpstr>HayRow20</vt:lpstr>
      <vt:lpstr>HayRow21</vt:lpstr>
      <vt:lpstr>HayRow22</vt:lpstr>
      <vt:lpstr>HayRow23</vt:lpstr>
      <vt:lpstr>HayRow24</vt:lpstr>
      <vt:lpstr>HayRow3</vt:lpstr>
      <vt:lpstr>HayRow4</vt:lpstr>
      <vt:lpstr>HayRow5</vt:lpstr>
      <vt:lpstr>HayRow6</vt:lpstr>
      <vt:lpstr>HayRow7</vt:lpstr>
      <vt:lpstr>HayRow8</vt:lpstr>
      <vt:lpstr>HayRow9</vt:lpstr>
      <vt:lpstr>HayYield1</vt:lpstr>
      <vt:lpstr>HayYield10</vt:lpstr>
      <vt:lpstr>HayYield11</vt:lpstr>
      <vt:lpstr>HayYield12</vt:lpstr>
      <vt:lpstr>HayYield13</vt:lpstr>
      <vt:lpstr>HayYield14</vt:lpstr>
      <vt:lpstr>HayYield15</vt:lpstr>
      <vt:lpstr>HayYield2</vt:lpstr>
      <vt:lpstr>HayYield3</vt:lpstr>
      <vt:lpstr>HayYield4</vt:lpstr>
      <vt:lpstr>HayYield5</vt:lpstr>
      <vt:lpstr>HayYield6</vt:lpstr>
      <vt:lpstr>HayYield7</vt:lpstr>
      <vt:lpstr>HayYield8</vt:lpstr>
      <vt:lpstr>HayYield9</vt:lpstr>
      <vt:lpstr>Horses</vt:lpstr>
      <vt:lpstr>HorsesAltPast</vt:lpstr>
      <vt:lpstr>HorsesCheck</vt:lpstr>
      <vt:lpstr>HorsesDryLot</vt:lpstr>
      <vt:lpstr>HorsesInput</vt:lpstr>
      <vt:lpstr>HorsesPast</vt:lpstr>
      <vt:lpstr>HorsesSummary</vt:lpstr>
      <vt:lpstr>ID</vt:lpstr>
      <vt:lpstr>Introduction</vt:lpstr>
      <vt:lpstr>Kind1</vt:lpstr>
      <vt:lpstr>Kind10</vt:lpstr>
      <vt:lpstr>Kind11</vt:lpstr>
      <vt:lpstr>Kind12</vt:lpstr>
      <vt:lpstr>Kind13</vt:lpstr>
      <vt:lpstr>Kind14</vt:lpstr>
      <vt:lpstr>Kind15</vt:lpstr>
      <vt:lpstr>Kind16</vt:lpstr>
      <vt:lpstr>Kind17</vt:lpstr>
      <vt:lpstr>Kind18</vt:lpstr>
      <vt:lpstr>Kind19</vt:lpstr>
      <vt:lpstr>Kind2</vt:lpstr>
      <vt:lpstr>Kind20</vt:lpstr>
      <vt:lpstr>Kind21</vt:lpstr>
      <vt:lpstr>Kind22</vt:lpstr>
      <vt:lpstr>Kind23</vt:lpstr>
      <vt:lpstr>Kind24</vt:lpstr>
      <vt:lpstr>Kind3</vt:lpstr>
      <vt:lpstr>Kind4</vt:lpstr>
      <vt:lpstr>Kind5</vt:lpstr>
      <vt:lpstr>Kind6</vt:lpstr>
      <vt:lpstr>Kind7</vt:lpstr>
      <vt:lpstr>Kind8</vt:lpstr>
      <vt:lpstr>Kind9</vt:lpstr>
      <vt:lpstr>LactatingDairyAltPast</vt:lpstr>
      <vt:lpstr>LactatingDairyDryLot</vt:lpstr>
      <vt:lpstr>LactatingDairyInput</vt:lpstr>
      <vt:lpstr>LactatingDairyPast</vt:lpstr>
      <vt:lpstr>Landowner</vt:lpstr>
      <vt:lpstr>LivestockNeeds</vt:lpstr>
      <vt:lpstr>LivestockSheet</vt:lpstr>
      <vt:lpstr>Name</vt:lpstr>
      <vt:lpstr>NoAltPast</vt:lpstr>
      <vt:lpstr>Notes</vt:lpstr>
      <vt:lpstr>Pasture10</vt:lpstr>
      <vt:lpstr>Pasture11</vt:lpstr>
      <vt:lpstr>Pasture12</vt:lpstr>
      <vt:lpstr>Pasture13</vt:lpstr>
      <vt:lpstr>Pasture14</vt:lpstr>
      <vt:lpstr>Pasture15</vt:lpstr>
      <vt:lpstr>Pasture16</vt:lpstr>
      <vt:lpstr>Pasture17</vt:lpstr>
      <vt:lpstr>Pasture18</vt:lpstr>
      <vt:lpstr>Pasture19</vt:lpstr>
      <vt:lpstr>Pasture2</vt:lpstr>
      <vt:lpstr>Pasture20</vt:lpstr>
      <vt:lpstr>Pasture21</vt:lpstr>
      <vt:lpstr>Pasture22</vt:lpstr>
      <vt:lpstr>Pasture23</vt:lpstr>
      <vt:lpstr>Pasture24</vt:lpstr>
      <vt:lpstr>Pasture3</vt:lpstr>
      <vt:lpstr>Pasture4</vt:lpstr>
      <vt:lpstr>Pasture5</vt:lpstr>
      <vt:lpstr>Pasture6</vt:lpstr>
      <vt:lpstr>Pasture7</vt:lpstr>
      <vt:lpstr>Pasture8</vt:lpstr>
      <vt:lpstr>Pasture9</vt:lpstr>
      <vt:lpstr>PastureEffTable</vt:lpstr>
      <vt:lpstr>Planner</vt:lpstr>
      <vt:lpstr>'528 IR'!Print_Area</vt:lpstr>
      <vt:lpstr>'Explanation sheet for L.O. '!Print_Area</vt:lpstr>
      <vt:lpstr>Instructions!Print_Area</vt:lpstr>
      <vt:lpstr>PrintableGrazingInventory!Print_Area</vt:lpstr>
      <vt:lpstr>PrintableHayInventory!Print_Area</vt:lpstr>
      <vt:lpstr>PrintableLivestockInventory!Print_Area</vt:lpstr>
      <vt:lpstr>PrintableSummaryBalance!Print_Area</vt:lpstr>
      <vt:lpstr>'Step 1. Field Inventory'!Print_Area</vt:lpstr>
      <vt:lpstr>'Step 3. FA Balance'!Print_Area</vt:lpstr>
      <vt:lpstr>'Step 4. Review Summary'!Print_Area</vt:lpstr>
      <vt:lpstr>'Step 5. Review TimeControlSched'!Print_Area</vt:lpstr>
      <vt:lpstr>PrintAlt1</vt:lpstr>
      <vt:lpstr>PrintAlt1a</vt:lpstr>
      <vt:lpstr>PrintAlt2</vt:lpstr>
      <vt:lpstr>PrintAlt2a</vt:lpstr>
      <vt:lpstr>PrintAlt3</vt:lpstr>
      <vt:lpstr>PrintAlt3a</vt:lpstr>
      <vt:lpstr>PrintAlt4</vt:lpstr>
      <vt:lpstr>PrintAlt4a</vt:lpstr>
      <vt:lpstr>PrintAlt5</vt:lpstr>
      <vt:lpstr>PrintAlt5a</vt:lpstr>
      <vt:lpstr>PrintAlt6</vt:lpstr>
      <vt:lpstr>PrintAlt6a</vt:lpstr>
      <vt:lpstr>PrintAltPastAll</vt:lpstr>
      <vt:lpstr>PrintAnnualDairya</vt:lpstr>
      <vt:lpstr>PrintAnnualDairyb</vt:lpstr>
      <vt:lpstr>PrintBullsa</vt:lpstr>
      <vt:lpstr>PrintBullsb</vt:lpstr>
      <vt:lpstr>PrintCC1a</vt:lpstr>
      <vt:lpstr>PrintCC1b</vt:lpstr>
      <vt:lpstr>PrintCC2a</vt:lpstr>
      <vt:lpstr>PrintCC2b</vt:lpstr>
      <vt:lpstr>PrintCC3a</vt:lpstr>
      <vt:lpstr>PrintCC3b</vt:lpstr>
      <vt:lpstr>PrintForage1</vt:lpstr>
      <vt:lpstr>PrintForage10</vt:lpstr>
      <vt:lpstr>PrintForage10a</vt:lpstr>
      <vt:lpstr>PrintForage11</vt:lpstr>
      <vt:lpstr>PrintForage11a</vt:lpstr>
      <vt:lpstr>PrintForage12</vt:lpstr>
      <vt:lpstr>PrintForage12a</vt:lpstr>
      <vt:lpstr>PrintForage13</vt:lpstr>
      <vt:lpstr>PrintForage13a</vt:lpstr>
      <vt:lpstr>PrintForage14</vt:lpstr>
      <vt:lpstr>PrintForage14a</vt:lpstr>
      <vt:lpstr>PrintForage15</vt:lpstr>
      <vt:lpstr>PrintForage15a</vt:lpstr>
      <vt:lpstr>PrintForage16</vt:lpstr>
      <vt:lpstr>PrintForage16a</vt:lpstr>
      <vt:lpstr>PrintForage17</vt:lpstr>
      <vt:lpstr>PrintForage17a</vt:lpstr>
      <vt:lpstr>PrintForage18</vt:lpstr>
      <vt:lpstr>PrintForage18a</vt:lpstr>
      <vt:lpstr>PrintForage19</vt:lpstr>
      <vt:lpstr>PrintForage19a</vt:lpstr>
      <vt:lpstr>PrintForage1a</vt:lpstr>
      <vt:lpstr>PrintForage2</vt:lpstr>
      <vt:lpstr>PrintForage20</vt:lpstr>
      <vt:lpstr>PrintForage20a</vt:lpstr>
      <vt:lpstr>PrintForage21</vt:lpstr>
      <vt:lpstr>PrintForage21a</vt:lpstr>
      <vt:lpstr>PrintForage22</vt:lpstr>
      <vt:lpstr>PrintForage22a</vt:lpstr>
      <vt:lpstr>PrintForage23</vt:lpstr>
      <vt:lpstr>PrintForage23a</vt:lpstr>
      <vt:lpstr>PrintForage24</vt:lpstr>
      <vt:lpstr>PrintForage24a</vt:lpstr>
      <vt:lpstr>PrintForage2a</vt:lpstr>
      <vt:lpstr>PrintForage3</vt:lpstr>
      <vt:lpstr>PrintForage3a</vt:lpstr>
      <vt:lpstr>PrintForage4</vt:lpstr>
      <vt:lpstr>PrintForage4a</vt:lpstr>
      <vt:lpstr>PrintForage5</vt:lpstr>
      <vt:lpstr>PrintForage5a</vt:lpstr>
      <vt:lpstr>PrintForage6</vt:lpstr>
      <vt:lpstr>PrintForage6a</vt:lpstr>
      <vt:lpstr>PrintForage7</vt:lpstr>
      <vt:lpstr>PrintForage7a</vt:lpstr>
      <vt:lpstr>PrintForage8</vt:lpstr>
      <vt:lpstr>PrintForage8a</vt:lpstr>
      <vt:lpstr>PrintForage9</vt:lpstr>
      <vt:lpstr>PrintForage9a</vt:lpstr>
      <vt:lpstr>PrintGoatsa</vt:lpstr>
      <vt:lpstr>PrintGoatsb</vt:lpstr>
      <vt:lpstr>PrintHay10a</vt:lpstr>
      <vt:lpstr>PrintHay10b</vt:lpstr>
      <vt:lpstr>PrintHay11a</vt:lpstr>
      <vt:lpstr>PrintHay12a</vt:lpstr>
      <vt:lpstr>PrintHay13a</vt:lpstr>
      <vt:lpstr>PrintHay14a</vt:lpstr>
      <vt:lpstr>PrintHay15a</vt:lpstr>
      <vt:lpstr>PrintHay16a</vt:lpstr>
      <vt:lpstr>PrintHay17a</vt:lpstr>
      <vt:lpstr>PrintHay18a</vt:lpstr>
      <vt:lpstr>PrintHay19a</vt:lpstr>
      <vt:lpstr>PrintHay1a</vt:lpstr>
      <vt:lpstr>PrintHay1b</vt:lpstr>
      <vt:lpstr>PrintHay20a</vt:lpstr>
      <vt:lpstr>PrintHay21a</vt:lpstr>
      <vt:lpstr>PrintHay22a</vt:lpstr>
      <vt:lpstr>PrintHay23a</vt:lpstr>
      <vt:lpstr>PrintHay24a</vt:lpstr>
      <vt:lpstr>PrintHay2a</vt:lpstr>
      <vt:lpstr>PrintHay2b</vt:lpstr>
      <vt:lpstr>PrintHay3a</vt:lpstr>
      <vt:lpstr>PrintHay3b</vt:lpstr>
      <vt:lpstr>PrintHay4a</vt:lpstr>
      <vt:lpstr>PrintHay4b</vt:lpstr>
      <vt:lpstr>PrintHay5a</vt:lpstr>
      <vt:lpstr>PrintHay5b</vt:lpstr>
      <vt:lpstr>PrintHay6a</vt:lpstr>
      <vt:lpstr>PrintHay6b</vt:lpstr>
      <vt:lpstr>PrintHay7a</vt:lpstr>
      <vt:lpstr>PrintHay7b</vt:lpstr>
      <vt:lpstr>PrintHay8a</vt:lpstr>
      <vt:lpstr>PrintHay8b</vt:lpstr>
      <vt:lpstr>PrintHay9a</vt:lpstr>
      <vt:lpstr>PrintHay9b</vt:lpstr>
      <vt:lpstr>PrintHorsesa</vt:lpstr>
      <vt:lpstr>PrintHorsesb</vt:lpstr>
      <vt:lpstr>Printing</vt:lpstr>
      <vt:lpstr>PrintSeasonalDairya</vt:lpstr>
      <vt:lpstr>PrintSeasonalDairyb</vt:lpstr>
      <vt:lpstr>PrintSheepa</vt:lpstr>
      <vt:lpstr>PrintSheepb</vt:lpstr>
      <vt:lpstr>PrintStockers1a</vt:lpstr>
      <vt:lpstr>PrintStockers1b</vt:lpstr>
      <vt:lpstr>PrintStockers2a</vt:lpstr>
      <vt:lpstr>PrintStockers2b</vt:lpstr>
      <vt:lpstr>Saving</vt:lpstr>
      <vt:lpstr>SeasonalDairyAltPast</vt:lpstr>
      <vt:lpstr>SeasonalDairyCheck</vt:lpstr>
      <vt:lpstr>SeasonalDairyDryLot</vt:lpstr>
      <vt:lpstr>SeasonalDairyPast</vt:lpstr>
      <vt:lpstr>Sheep</vt:lpstr>
      <vt:lpstr>SheepCheck</vt:lpstr>
      <vt:lpstr>SheepInput</vt:lpstr>
      <vt:lpstr>SheepSummary</vt:lpstr>
      <vt:lpstr>Stockers1</vt:lpstr>
      <vt:lpstr>Stockers1Check</vt:lpstr>
      <vt:lpstr>Stockers1Input</vt:lpstr>
      <vt:lpstr>Stockers2</vt:lpstr>
      <vt:lpstr>Stockers2Check</vt:lpstr>
      <vt:lpstr>Stockers2Input</vt:lpstr>
      <vt:lpstr>StockersSummary1</vt:lpstr>
      <vt:lpstr>StockersSummary2</vt:lpstr>
      <vt:lpstr>SumBuyHay</vt:lpstr>
      <vt:lpstr>SumCarryoverHay</vt:lpstr>
      <vt:lpstr>SumLoss1</vt:lpstr>
      <vt:lpstr>SumLoss2</vt:lpstr>
      <vt:lpstr>SumLoss3</vt:lpstr>
      <vt:lpstr>Summary</vt:lpstr>
      <vt:lpstr>SummaryFeed</vt:lpstr>
      <vt:lpstr>TimeControl</vt:lpstr>
      <vt:lpstr>TimeControl1</vt:lpstr>
      <vt:lpstr>TimeControl10</vt:lpstr>
      <vt:lpstr>TimeControl11</vt:lpstr>
      <vt:lpstr>TimeControl12</vt:lpstr>
      <vt:lpstr>TimeControl13</vt:lpstr>
      <vt:lpstr>TimeControl14</vt:lpstr>
      <vt:lpstr>TimeControl15</vt:lpstr>
      <vt:lpstr>TimeControl16</vt:lpstr>
      <vt:lpstr>TimeControl17</vt:lpstr>
      <vt:lpstr>TimeControl18</vt:lpstr>
      <vt:lpstr>TimeControl19</vt:lpstr>
      <vt:lpstr>TimeControl2</vt:lpstr>
      <vt:lpstr>TimeControl20</vt:lpstr>
      <vt:lpstr>TimeControl21</vt:lpstr>
      <vt:lpstr>TimeControl22</vt:lpstr>
      <vt:lpstr>TimeControl23</vt:lpstr>
      <vt:lpstr>TimeControl24</vt:lpstr>
      <vt:lpstr>TimeControl3</vt:lpstr>
      <vt:lpstr>TimeControl4</vt:lpstr>
      <vt:lpstr>TimeControl5</vt:lpstr>
      <vt:lpstr>TimeControl6</vt:lpstr>
      <vt:lpstr>TimeControl7</vt:lpstr>
      <vt:lpstr>TimeControl8</vt:lpstr>
      <vt:lpstr>TimeControl9</vt:lpstr>
      <vt:lpstr>TotalAcreGrazed</vt:lpstr>
      <vt:lpstr>TotalAltDemand</vt:lpstr>
      <vt:lpstr>Yield1</vt:lpstr>
      <vt:lpstr>Yield10</vt:lpstr>
      <vt:lpstr>Yield11</vt:lpstr>
      <vt:lpstr>Yield12</vt:lpstr>
      <vt:lpstr>Yield13</vt:lpstr>
      <vt:lpstr>Yield14</vt:lpstr>
      <vt:lpstr>Yield15</vt:lpstr>
      <vt:lpstr>Yield16</vt:lpstr>
      <vt:lpstr>Yield17</vt:lpstr>
      <vt:lpstr>Yield18</vt:lpstr>
      <vt:lpstr>Yield19</vt:lpstr>
      <vt:lpstr>Yield2</vt:lpstr>
      <vt:lpstr>Yield20</vt:lpstr>
      <vt:lpstr>Yield21</vt:lpstr>
      <vt:lpstr>Yield22</vt:lpstr>
      <vt:lpstr>Yield23</vt:lpstr>
      <vt:lpstr>Yield24</vt:lpstr>
      <vt:lpstr>Yield3</vt:lpstr>
      <vt:lpstr>Yield4</vt:lpstr>
      <vt:lpstr>Yield5</vt:lpstr>
      <vt:lpstr>Yield6</vt:lpstr>
      <vt:lpstr>Yield7</vt:lpstr>
      <vt:lpstr>Yield8</vt:lpstr>
      <vt:lpstr>Yield9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adam.reed@mo.usda.gov</dc:creator>
  <cp:lastModifiedBy>Cherryle Heu</cp:lastModifiedBy>
  <cp:lastPrinted>2023-02-08T21:55:39Z</cp:lastPrinted>
  <dcterms:created xsi:type="dcterms:W3CDTF">2000-02-08T15:02:29Z</dcterms:created>
  <dcterms:modified xsi:type="dcterms:W3CDTF">2023-11-08T08:15:37Z</dcterms:modified>
</cp:coreProperties>
</file>