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xiaoyixie\Desktop\Desktop\Data_class_xiaoyi\Analysis Projects\Crowdfunding Analysis\Module 1 Challenge\"/>
    </mc:Choice>
  </mc:AlternateContent>
  <xr:revisionPtr revIDLastSave="0" documentId="13_ncr:1_{36BD8471-9084-4852-9C90-0F28FAE57E08}" xr6:coauthVersionLast="47" xr6:coauthVersionMax="47" xr10:uidLastSave="{00000000-0000-0000-0000-000000000000}"/>
  <bookViews>
    <workbookView xWindow="-120" yWindow="-120" windowWidth="25440" windowHeight="15540" tabRatio="793" activeTab="2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3" r:id="rId4"/>
    <sheet name="Subcategory Statistics" sheetId="4" r:id="rId5"/>
    <sheet name="Edinburgh Research" sheetId="6" r:id="rId6"/>
  </sheets>
  <definedNames>
    <definedName name="_xlnm._FilterDatabase" localSheetId="2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D13" i="12" l="1"/>
  <c r="D12" i="12"/>
  <c r="D11" i="12"/>
  <c r="D10" i="12"/>
  <c r="D9" i="12"/>
  <c r="D2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3" i="12"/>
  <c r="C5" i="12"/>
  <c r="B5" i="12"/>
  <c r="C4" i="12"/>
  <c r="C2" i="12"/>
  <c r="B13" i="12"/>
  <c r="B12" i="12"/>
  <c r="B11" i="12"/>
  <c r="B10" i="12"/>
  <c r="B9" i="12"/>
  <c r="B8" i="12"/>
  <c r="B7" i="12"/>
  <c r="B6" i="12"/>
  <c r="B4" i="12"/>
  <c r="B3" i="12"/>
  <c r="B2" i="12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H10" i="12" l="1"/>
  <c r="E9" i="12"/>
  <c r="F9" i="12" s="1"/>
  <c r="E8" i="12"/>
  <c r="H8" i="12" s="1"/>
  <c r="E10" i="12"/>
  <c r="F10" i="12" s="1"/>
  <c r="E4" i="12"/>
  <c r="F4" i="12" s="1"/>
  <c r="E2" i="12"/>
  <c r="G2" i="12" s="1"/>
  <c r="E7" i="12"/>
  <c r="H7" i="12" s="1"/>
  <c r="E13" i="12"/>
  <c r="H13" i="12" s="1"/>
  <c r="E5" i="12"/>
  <c r="F5" i="12" s="1"/>
  <c r="E6" i="12"/>
  <c r="F6" i="12" s="1"/>
  <c r="E12" i="12"/>
  <c r="F12" i="12" s="1"/>
  <c r="E3" i="12"/>
  <c r="F3" i="12" s="1"/>
  <c r="E11" i="12"/>
  <c r="F11" i="12" s="1"/>
  <c r="G13" i="12" l="1"/>
  <c r="G12" i="12"/>
  <c r="G10" i="12"/>
  <c r="G4" i="12"/>
  <c r="F13" i="12"/>
  <c r="F2" i="12"/>
  <c r="F7" i="12"/>
  <c r="H9" i="12"/>
  <c r="H6" i="12"/>
  <c r="H4" i="12"/>
  <c r="G3" i="12"/>
  <c r="G8" i="12"/>
  <c r="F8" i="12"/>
  <c r="H11" i="12"/>
  <c r="G9" i="12"/>
  <c r="G7" i="12"/>
  <c r="H2" i="12"/>
  <c r="H12" i="12"/>
  <c r="H3" i="12"/>
  <c r="G5" i="12"/>
  <c r="H5" i="12"/>
  <c r="G6" i="12"/>
  <c r="G11" i="12"/>
</calcChain>
</file>

<file path=xl/sharedStrings.xml><?xml version="1.0" encoding="utf-8"?>
<sst xmlns="http://schemas.openxmlformats.org/spreadsheetml/2006/main" count="33019" uniqueCount="8403">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</sst>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quotePrefix="1"/>
    <xf numFmtId="9" fontId="1" fillId="0" borderId="0" xfId="1" applyFont="1"/>
    <xf numFmtId="9" fontId="0" fillId="0" borderId="0" xfId="1" applyFont="1"/>
    <xf numFmtId="166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7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F-4348-A5FA-B2FF0993D40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F-4348-A5FA-B2FF0993D40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F-4348-A5FA-B2FF0993D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871248"/>
        <c:axId val="993863048"/>
      </c:lineChart>
      <c:catAx>
        <c:axId val="9938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63048"/>
        <c:crosses val="autoZero"/>
        <c:auto val="1"/>
        <c:lblAlgn val="ctr"/>
        <c:lblOffset val="100"/>
        <c:noMultiLvlLbl val="0"/>
      </c:catAx>
      <c:valAx>
        <c:axId val="99386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7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1-432D-B27F-C66AE51863D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1-432D-B27F-C66AE51863D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1-432D-B27F-C66AE5186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881176"/>
        <c:axId val="1022881504"/>
      </c:lineChart>
      <c:catAx>
        <c:axId val="102288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81504"/>
        <c:crosses val="autoZero"/>
        <c:auto val="1"/>
        <c:lblAlgn val="ctr"/>
        <c:lblOffset val="100"/>
        <c:noMultiLvlLbl val="0"/>
      </c:catAx>
      <c:valAx>
        <c:axId val="10228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37836610949887"/>
          <c:y val="0.113298699980725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8-4D13-AA9C-888860031C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8-4D13-AA9C-888860031C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8-4D13-AA9C-888860031C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38-4D13-AA9C-888860031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201912"/>
        <c:axId val="378197648"/>
      </c:barChart>
      <c:catAx>
        <c:axId val="37820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97648"/>
        <c:crosses val="autoZero"/>
        <c:auto val="1"/>
        <c:lblAlgn val="ctr"/>
        <c:lblOffset val="100"/>
        <c:noMultiLvlLbl val="0"/>
      </c:catAx>
      <c:valAx>
        <c:axId val="37819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0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E-4D9C-A4F1-3BFCA525E8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0">
                  <c:v>11</c:v>
                </c:pt>
                <c:pt idx="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2E-4D9C-A4F1-3BFCA525E8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2E-4D9C-A4F1-3BFCA525E8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Statistics'!$E$6:$E$8</c:f>
              <c:numCache>
                <c:formatCode>General</c:formatCode>
                <c:ptCount val="2"/>
                <c:pt idx="0">
                  <c:v>10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1-4A2B-82F1-4019F0A0F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879952"/>
        <c:axId val="505882248"/>
      </c:barChart>
      <c:catAx>
        <c:axId val="50587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82248"/>
        <c:crosses val="autoZero"/>
        <c:auto val="1"/>
        <c:lblAlgn val="ctr"/>
        <c:lblOffset val="100"/>
        <c:noMultiLvlLbl val="0"/>
      </c:catAx>
      <c:valAx>
        <c:axId val="50588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7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604844</xdr:colOff>
      <xdr:row>19</xdr:row>
      <xdr:rowOff>38100</xdr:rowOff>
    </xdr:from>
    <xdr:to>
      <xdr:col>8</xdr:col>
      <xdr:colOff>219075</xdr:colOff>
      <xdr:row>36</xdr:row>
      <xdr:rowOff>26193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95D45-27FE-7CE7-A627-2304B9700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259551</xdr:colOff>
      <xdr:row>16</xdr:row>
      <xdr:rowOff>71437</xdr:rowOff>
    </xdr:from>
    <xdr:to>
      <xdr:col>12</xdr:col>
      <xdr:colOff>130968</xdr:colOff>
      <xdr:row>44</xdr:row>
      <xdr:rowOff>73817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B4FAE-CEB4-6237-8BE0-F878DE834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526256</xdr:colOff>
      <xdr:row>4</xdr:row>
      <xdr:rowOff>30955</xdr:rowOff>
    </xdr:from>
    <xdr:to>
      <xdr:col>13</xdr:col>
      <xdr:colOff>600075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138C2-70C4-916A-5E00-3BE721D46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250028</xdr:colOff>
      <xdr:row>2</xdr:row>
      <xdr:rowOff>102394</xdr:rowOff>
    </xdr:from>
    <xdr:to>
      <xdr:col>14</xdr:col>
      <xdr:colOff>2379</xdr:colOff>
      <xdr:row>17</xdr:row>
      <xdr:rowOff>130969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9EDD8-C60B-0976-9FAB-93F4DCE08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yixie" refreshedDate="44847.010667245369" createdVersion="8" refreshedVersion="8" minRefreshableVersion="3" recordCount="4114" xr:uid="{66F6781C-5A4B-4D66-8833-C2C10F0A23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yixie" refreshedDate="44847.720435416668" createdVersion="8" refreshedVersion="8" minRefreshableVersion="3" recordCount="4114" xr:uid="{3710B792-5D00-4B8F-BAA2-998293BA982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7A511-076F-46ED-9DC2-A31FCFD706F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3CB70-14A0-48E3-87D2-81E2BCA8CA4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209CD-6D69-4182-A1E6-2C4F4F69FAD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D5015-2F27-4A97-9EC3-87CF45BF91C7}">
  <sheetPr codeName="Sheet3">
    <tabColor rgb="FF92D050"/>
  </sheetPr>
  <dimension ref="A1:E18"/>
  <sheetViews>
    <sheetView zoomScale="90" zoomScaleNormal="90" workbookViewId="0">
      <selection activeCell="F17" sqref="F17"/>
    </sheetView>
  </sheetViews>
  <sheetFormatPr defaultRowHeight="15" x14ac:dyDescent="0.25"/>
  <cols>
    <col min="1" max="1" width="16.28515625" bestFit="1" customWidth="1"/>
    <col min="2" max="2" width="14.7109375" bestFit="1" customWidth="1"/>
    <col min="3" max="3" width="5.28515625" bestFit="1" customWidth="1"/>
    <col min="4" max="4" width="7.85546875" bestFit="1" customWidth="1"/>
    <col min="5" max="6" width="10.140625" bestFit="1" customWidth="1"/>
  </cols>
  <sheetData>
    <row r="1" spans="1:5" x14ac:dyDescent="0.25">
      <c r="A1" s="14" t="s">
        <v>8383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8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8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8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8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8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8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8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8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8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8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8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44A16-AD54-4692-AAB1-6435132EFC42}">
  <sheetPr codeName="Sheet4">
    <tabColor rgb="FF92D050"/>
  </sheetPr>
  <dimension ref="A1:H13"/>
  <sheetViews>
    <sheetView zoomScale="70" zoomScaleNormal="70" workbookViewId="0">
      <selection activeCell="B5" sqref="B5"/>
    </sheetView>
  </sheetViews>
  <sheetFormatPr defaultColWidth="5" defaultRowHeight="15" x14ac:dyDescent="0.25"/>
  <cols>
    <col min="1" max="1" width="15.85546875" bestFit="1" customWidth="1"/>
    <col min="2" max="2" width="16.85546875" bestFit="1" customWidth="1"/>
    <col min="3" max="3" width="13.42578125" bestFit="1" customWidth="1"/>
    <col min="4" max="4" width="15.85546875" bestFit="1" customWidth="1"/>
    <col min="5" max="5" width="12.140625" customWidth="1"/>
    <col min="6" max="6" width="19.5703125" style="22" bestFit="1" customWidth="1"/>
    <col min="7" max="7" width="16" style="22" bestFit="1" customWidth="1"/>
    <col min="8" max="8" width="18.42578125" style="22" bestFit="1" customWidth="1"/>
  </cols>
  <sheetData>
    <row r="1" spans="1:8" s="19" customFormat="1" x14ac:dyDescent="0.25">
      <c r="A1" s="19" t="s">
        <v>8381</v>
      </c>
      <c r="B1" s="19" t="s">
        <v>8384</v>
      </c>
      <c r="C1" s="19" t="s">
        <v>8385</v>
      </c>
      <c r="D1" s="19" t="s">
        <v>8386</v>
      </c>
      <c r="E1" s="19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25">
      <c r="A2" t="s">
        <v>8391</v>
      </c>
      <c r="B2" s="20">
        <f>COUNTIFS(Kickstarter!$F:$F,"successful", Kickstarter!$D:$D,"&lt;1000", Kickstarter!$R:$R,"plays")</f>
        <v>141</v>
      </c>
      <c r="C2" s="20">
        <f>COUNTIFS(Kickstarter!$F:$F,"failed", Kickstarter!$D:$D,"&lt;1000", Kickstarter!$R:$R,"plays")</f>
        <v>45</v>
      </c>
      <c r="D2" s="20">
        <f>COUNTIFS(Kickstarter!$F:$F,"canceled", Kickstarter!$D:$D,"&lt;1000", Kickstarter!$R:$R,"plays")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8392</v>
      </c>
      <c r="B3" s="20">
        <f>COUNTIFS(Kickstarter!$F:$F,"successful", Kickstarter!$D:$D,"&gt;=1000", Kickstarter!$D:$D,"&lt;=4999", Kickstarter!$R:$R,"plays")</f>
        <v>388</v>
      </c>
      <c r="C3" s="20">
        <f>COUNTIFS(Kickstarter!$F:$F,"failed", Kickstarter!$D:$D,"&gt;=1000", Kickstarter!$D:$D,"&lt;=4999", Kickstarter!$R:$R,"plays")</f>
        <v>146</v>
      </c>
      <c r="D3" s="20">
        <f>COUNTIFS(Kickstarter!$F:$F,"canceled", Kickstarter!$D:$D,"&gt;=1000", Kickstarter!$D:$D,"&lt;=4999", Kickstarter!$R:$R,"plays")</f>
        <v>0</v>
      </c>
      <c r="E3">
        <f t="shared" ref="E3:E13" si="0">SUM(B3:D3)</f>
        <v>534</v>
      </c>
      <c r="F3" s="22">
        <f>B3/E3</f>
        <v>0.72659176029962547</v>
      </c>
      <c r="G3" s="22">
        <f t="shared" ref="G3:G13" si="1">C3/E3</f>
        <v>0.27340823970037453</v>
      </c>
      <c r="H3" s="22">
        <f t="shared" ref="H3:H13" si="2">D3/E3</f>
        <v>0</v>
      </c>
    </row>
    <row r="4" spans="1:8" x14ac:dyDescent="0.25">
      <c r="A4" t="s">
        <v>8393</v>
      </c>
      <c r="B4" s="20">
        <f>COUNTIFS(Kickstarter!$F:$F,"successful", Kickstarter!$D:$D,"&gt;=5000", Kickstarter!$D:$D,"&lt;=9999", Kickstarter!$R:$R,"plays")</f>
        <v>93</v>
      </c>
      <c r="C4" s="20">
        <f>COUNTIFS(Kickstarter!$F:$F,"failed", Kickstarter!$D:$D,"&gt;=5000", Kickstarter!$D:$D,"&lt;=9999", Kickstarter!$R:$R,"plays")</f>
        <v>76</v>
      </c>
      <c r="D4" s="20">
        <f>COUNTIFS(Kickstarter!$F:$F,"canceled", Kickstarter!$D:$D,"&gt;=5000", Kickstarter!$D:$D,"&lt;=9999", Kickstarter!$R:$R,"plays")</f>
        <v>0</v>
      </c>
      <c r="E4">
        <f>SUM(B4:D4)</f>
        <v>169</v>
      </c>
      <c r="F4" s="22">
        <f t="shared" ref="F4:F12" si="3">B4/E4</f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25">
      <c r="A5" t="s">
        <v>8394</v>
      </c>
      <c r="B5" s="20">
        <f>COUNTIFS(Kickstarter!$F:$F,"successful", Kickstarter!$D:$D,"&gt;=10000", Kickstarter!$D:$D,"&lt;=14999", Kickstarter!$R:$R,"plays")</f>
        <v>39</v>
      </c>
      <c r="C5" s="20">
        <f>COUNTIFS(Kickstarter!$F:$F,"failed", Kickstarter!$D:$D,"&gt;=10000", Kickstarter!$D:$D,"&lt;=14999", Kickstarter!$R:$R,"plays")</f>
        <v>33</v>
      </c>
      <c r="D5" s="20">
        <f>COUNTIFS(Kickstarter!$F:$F,"canceled", Kickstarter!$D:$D,"&gt;=10000", Kickstarter!$D:$D,"&lt;=14999", Kickstarter!$R:$R,"plays")</f>
        <v>0</v>
      </c>
      <c r="E5">
        <f t="shared" si="0"/>
        <v>72</v>
      </c>
      <c r="F5" s="22">
        <f t="shared" si="3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25">
      <c r="A6" t="s">
        <v>8402</v>
      </c>
      <c r="B6" s="20">
        <f>COUNTIFS(Kickstarter!$F:$F,"successful", Kickstarter!$D:$D,"&gt;=15000", Kickstarter!$D:$D,"&lt;=19999", Kickstarter!$R:$R,"plays")</f>
        <v>12</v>
      </c>
      <c r="C6" s="20">
        <f>COUNTIFS(Kickstarter!$F:$F,"failed", Kickstarter!$D:$D,"&gt;=15000", Kickstarter!$D:$D,"&lt;=19999", Kickstarter!$R:$R,"plays")</f>
        <v>12</v>
      </c>
      <c r="D6" s="20">
        <f>COUNTIFS(Kickstarter!$F:$F,"canceled", Kickstarter!$D:$D,"&gt;=15000", Kickstarter!$D:$D,"&lt;=19999", Kickstarter!$R:$R,"plays")</f>
        <v>0</v>
      </c>
      <c r="E6">
        <f t="shared" si="0"/>
        <v>24</v>
      </c>
      <c r="F6" s="22">
        <f t="shared" si="3"/>
        <v>0.5</v>
      </c>
      <c r="G6" s="22">
        <f t="shared" si="1"/>
        <v>0.5</v>
      </c>
      <c r="H6" s="22">
        <f t="shared" si="2"/>
        <v>0</v>
      </c>
    </row>
    <row r="7" spans="1:8" x14ac:dyDescent="0.25">
      <c r="A7" t="s">
        <v>8395</v>
      </c>
      <c r="B7" s="20">
        <f>COUNTIFS(Kickstarter!$F:$F,"successful", Kickstarter!$D:$D,"&gt;=20000", Kickstarter!$D:$D,"&lt;=24999", Kickstarter!$R:$R,"plays")</f>
        <v>9</v>
      </c>
      <c r="C7" s="20">
        <f>COUNTIFS(Kickstarter!$F:$F,"failed", Kickstarter!$D:$D,"&gt;=20000", Kickstarter!$D:$D,"&lt;=24999", Kickstarter!$R:$R,"plays")</f>
        <v>11</v>
      </c>
      <c r="D7" s="20">
        <f>COUNTIFS(Kickstarter!$F:$F,"canceled", Kickstarter!$D:$D,"&gt;=20000", Kickstarter!$D:$D,"&lt;=24999", Kickstarter!$R:$R,"plays")</f>
        <v>0</v>
      </c>
      <c r="E7">
        <f t="shared" si="0"/>
        <v>20</v>
      </c>
      <c r="F7" s="22">
        <f>B7/E7</f>
        <v>0.45</v>
      </c>
      <c r="G7" s="22">
        <f t="shared" si="1"/>
        <v>0.55000000000000004</v>
      </c>
      <c r="H7" s="22">
        <f t="shared" si="2"/>
        <v>0</v>
      </c>
    </row>
    <row r="8" spans="1:8" x14ac:dyDescent="0.25">
      <c r="A8" t="s">
        <v>8396</v>
      </c>
      <c r="B8" s="20">
        <f>COUNTIFS(Kickstarter!$F:$F,"successful", Kickstarter!$D:$D,"&gt;=25000", Kickstarter!$D:$D,"&lt;=29999", Kickstarter!$R:$R,"plays")</f>
        <v>1</v>
      </c>
      <c r="C8" s="20">
        <f>COUNTIFS(Kickstarter!$F:$F,"failed", Kickstarter!$D:$D,"&gt;=25000", Kickstarter!$D:$D,"&lt;=29999", Kickstarter!$R:$R,"plays")</f>
        <v>4</v>
      </c>
      <c r="D8" s="20">
        <f>COUNTIFS(Kickstarter!$F:$F,"canceled", Kickstarter!$D:$D,"&gt;=25000", Kickstarter!$D:$D,"&lt;=29999", Kickstarter!$R:$R,"plays")</f>
        <v>0</v>
      </c>
      <c r="E8">
        <f t="shared" si="0"/>
        <v>5</v>
      </c>
      <c r="F8" s="22">
        <f t="shared" si="3"/>
        <v>0.2</v>
      </c>
      <c r="G8" s="22">
        <f>C8/E8</f>
        <v>0.8</v>
      </c>
      <c r="H8" s="22">
        <f>D8/E8</f>
        <v>0</v>
      </c>
    </row>
    <row r="9" spans="1:8" x14ac:dyDescent="0.25">
      <c r="A9" t="s">
        <v>8397</v>
      </c>
      <c r="B9" s="20">
        <f>COUNTIFS(Kickstarter!$F:$F,"successful", Kickstarter!$D:$D,"&gt;=30000", Kickstarter!$D:$D,"&lt;=34999", Kickstarter!$R:$R,"plays")</f>
        <v>3</v>
      </c>
      <c r="C9" s="20">
        <f>COUNTIFS(Kickstarter!$F:$F,"failed", Kickstarter!$D:$D,"&gt;=30000", Kickstarter!$D:$D,"&lt;=34999", Kickstarter!$R:$R,"plays")</f>
        <v>8</v>
      </c>
      <c r="D9" s="20">
        <f>COUNTIFS(Kickstarter!$F:$F,"canceled", Kickstarter!$D:$D,"&gt;=30000", Kickstarter!$D:$D,"&lt;=34999", Kickstarter!$R:$R,"plays")</f>
        <v>0</v>
      </c>
      <c r="E9">
        <f t="shared" si="0"/>
        <v>11</v>
      </c>
      <c r="F9" s="22">
        <f t="shared" si="3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25">
      <c r="A10" t="s">
        <v>8398</v>
      </c>
      <c r="B10" s="20">
        <f>COUNTIFS(Kickstarter!$F:$F,"successful", Kickstarter!$D:$D,"&gt;=35000", Kickstarter!$D:$D,"&lt;=39999", Kickstarter!$R:$R,"plays")</f>
        <v>4</v>
      </c>
      <c r="C10" s="20">
        <f>COUNTIFS(Kickstarter!$F:$F,"failed", Kickstarter!$D:$D,"&gt;=35000", Kickstarter!$D:$D,"&lt;=39999", Kickstarter!$R:$R,"plays")</f>
        <v>2</v>
      </c>
      <c r="D10" s="20">
        <f>COUNTIFS(Kickstarter!$F:$F,"canceled", Kickstarter!$D:$D,"&gt;=35000", Kickstarter!$D:$D,"&lt;=39999", Kickstarter!$R:$R,"plays")</f>
        <v>0</v>
      </c>
      <c r="E10">
        <f t="shared" si="0"/>
        <v>6</v>
      </c>
      <c r="F10" s="22">
        <f t="shared" si="3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25">
      <c r="A11" t="s">
        <v>8399</v>
      </c>
      <c r="B11" s="20">
        <f>COUNTIFS(Kickstarter!$F:$F,"successful", Kickstarter!$D:$D,"&gt;=40000", Kickstarter!$D:$D,"&lt;=44999", Kickstarter!$R:$R,"plays")</f>
        <v>2</v>
      </c>
      <c r="C11" s="20">
        <f>COUNTIFS(Kickstarter!$F:$F,"failed", Kickstarter!$D:$D,"&gt;=40000", Kickstarter!$D:$D,"&lt;=44999", Kickstarter!$R:$R,"plays")</f>
        <v>1</v>
      </c>
      <c r="D11" s="20">
        <f>COUNTIFS(Kickstarter!$F:$F,"canceled", Kickstarter!$D:$D,"&gt;=40000", Kickstarter!$D:$D,"&lt;=44999", Kickstarter!$R:$R,"plays")</f>
        <v>0</v>
      </c>
      <c r="E11">
        <f t="shared" si="0"/>
        <v>3</v>
      </c>
      <c r="F11" s="22">
        <f t="shared" si="3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25">
      <c r="A12" t="s">
        <v>8400</v>
      </c>
      <c r="B12" s="20">
        <f>COUNTIFS(Kickstarter!$F:$F,"successful", Kickstarter!$D:$D,"&gt;=45000", Kickstarter!$D:$D,"&lt;=49999", Kickstarter!$R:$R,"plays")</f>
        <v>0</v>
      </c>
      <c r="C12" s="20">
        <f>COUNTIFS(Kickstarter!$F:$F,"failed", Kickstarter!$D:$D,"&gt;=45000", Kickstarter!$D:$D,"&lt;=49999", Kickstarter!$R:$R,"plays")</f>
        <v>1</v>
      </c>
      <c r="D12" s="20">
        <f>COUNTIFS(Kickstarter!$F:$F,"canceled", Kickstarter!$D:$D,"&gt;=45000", Kickstarter!$D:$D,"&lt;=49999", Kickstarter!$R:$R,"plays")</f>
        <v>0</v>
      </c>
      <c r="E12">
        <f t="shared" si="0"/>
        <v>1</v>
      </c>
      <c r="F12" s="22">
        <f t="shared" si="3"/>
        <v>0</v>
      </c>
      <c r="G12" s="22">
        <f t="shared" si="1"/>
        <v>1</v>
      </c>
      <c r="H12" s="22">
        <f t="shared" si="2"/>
        <v>0</v>
      </c>
    </row>
    <row r="13" spans="1:8" x14ac:dyDescent="0.25">
      <c r="A13" t="s">
        <v>8401</v>
      </c>
      <c r="B13" s="20">
        <f>COUNTIFS(Kickstarter!$F:$F,"successful", Kickstarter!$D:$D,"&gt;=50000", Kickstarter!$R:$R,"plays")</f>
        <v>2</v>
      </c>
      <c r="C13" s="20">
        <f>COUNTIFS(Kickstarter!$F:$F,"failed", Kickstarter!$D:$D,"&gt;=50000", Kickstarter!$R:$R,"plays")</f>
        <v>14</v>
      </c>
      <c r="D13" s="20">
        <f>COUNTIFS(Kickstarter!$F:$F,"canceled", Kickstarter!$D:$D,"&gt;=50000", Kickstarter!$R:$R,"plays")</f>
        <v>0</v>
      </c>
      <c r="E13">
        <f t="shared" si="0"/>
        <v>16</v>
      </c>
      <c r="F13" s="22">
        <f>B13/E13</f>
        <v>0.125</v>
      </c>
      <c r="G13" s="22">
        <f t="shared" si="1"/>
        <v>0.875</v>
      </c>
      <c r="H13" s="22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8"/>
  </sheetPr>
  <dimension ref="A1:U4115"/>
  <sheetViews>
    <sheetView tabSelected="1" zoomScale="90" zoomScaleNormal="90" workbookViewId="0">
      <selection activeCell="D7" sqref="D7"/>
    </sheetView>
  </sheetViews>
  <sheetFormatPr defaultColWidth="8.85546875" defaultRowHeight="15" x14ac:dyDescent="0.25"/>
  <cols>
    <col min="1" max="1" width="6.7109375" bestFit="1" customWidth="1"/>
    <col min="2" max="2" width="38.42578125" style="11" customWidth="1"/>
    <col min="3" max="3" width="40.28515625" style="3" customWidth="1"/>
    <col min="4" max="4" width="16" style="5" bestFit="1" customWidth="1"/>
    <col min="5" max="5" width="12.140625" style="7" bestFit="1" customWidth="1"/>
    <col min="6" max="6" width="13.140625" bestFit="1" customWidth="1"/>
    <col min="7" max="7" width="11.42578125" bestFit="1" customWidth="1"/>
    <col min="8" max="9" width="12.140625" bestFit="1" customWidth="1"/>
    <col min="10" max="10" width="15.140625" bestFit="1" customWidth="1"/>
    <col min="11" max="11" width="13" bestFit="1" customWidth="1"/>
    <col min="12" max="12" width="17" bestFit="1" customWidth="1"/>
    <col min="13" max="13" width="12.28515625" bestFit="1" customWidth="1"/>
    <col min="14" max="14" width="26.5703125" bestFit="1" customWidth="1"/>
    <col min="15" max="15" width="20.85546875" bestFit="1" customWidth="1"/>
    <col min="16" max="16" width="19.85546875" style="9" bestFit="1" customWidth="1"/>
    <col min="17" max="17" width="18" bestFit="1" customWidth="1"/>
    <col min="18" max="18" width="15.140625" bestFit="1" customWidth="1"/>
    <col min="19" max="19" width="25.5703125" style="17" bestFit="1" customWidth="1"/>
    <col min="20" max="20" width="24.28515625" style="17" bestFit="1" customWidth="1"/>
    <col min="21" max="21" width="9.42578125" customWidth="1"/>
  </cols>
  <sheetData>
    <row r="1" spans="1:21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12" t="s">
        <v>8383</v>
      </c>
      <c r="R1" s="12" t="s">
        <v>8359</v>
      </c>
      <c r="S1" s="16" t="s">
        <v>8365</v>
      </c>
      <c r="T1" s="16" t="s">
        <v>8366</v>
      </c>
      <c r="U1" s="16" t="s">
        <v>8379</v>
      </c>
    </row>
    <row r="2" spans="1:21" ht="60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9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9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9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9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9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9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9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9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9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9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9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9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9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9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9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9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9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9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9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9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9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9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9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9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9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9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9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9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9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9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9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9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9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9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9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9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9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9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9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9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9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9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9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9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9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9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9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9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9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9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9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9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9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9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9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9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9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9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9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9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9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9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9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9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9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9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9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9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9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6" priority="2" operator="equal">
      <formula>"live"</formula>
    </cfRule>
    <cfRule type="cellIs" dxfId="5" priority="3" operator="equal">
      <formula>"successful"</formula>
    </cfRule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7608-B9F8-44C5-A781-CF05BA3AA197}">
  <sheetPr codeName="Sheet1"/>
  <dimension ref="A1:F14"/>
  <sheetViews>
    <sheetView workbookViewId="0">
      <selection activeCell="R12" sqref="R12"/>
    </sheetView>
  </sheetViews>
  <sheetFormatPr defaultRowHeight="15" x14ac:dyDescent="0.25"/>
  <cols>
    <col min="1" max="1" width="16.7109375" bestFit="1" customWidth="1"/>
    <col min="2" max="2" width="15.28515625" bestFit="1" customWidth="1"/>
    <col min="3" max="3" width="5.7109375" bestFit="1" customWidth="1"/>
    <col min="4" max="4" width="4" bestFit="1" customWidth="1"/>
    <col min="5" max="5" width="9.28515625" bestFit="1" customWidth="1"/>
    <col min="6" max="6" width="10.425781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15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15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15" t="s">
        <v>8329</v>
      </c>
      <c r="B8" s="9">
        <v>23</v>
      </c>
      <c r="C8" s="9"/>
      <c r="D8" s="9"/>
      <c r="E8" s="9"/>
      <c r="F8" s="9">
        <v>23</v>
      </c>
    </row>
    <row r="9" spans="1:6" x14ac:dyDescent="0.25">
      <c r="A9" s="15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15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15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15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15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15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62BD8-C416-4599-BBDF-588BB278696A}">
  <sheetPr codeName="Sheet5"/>
  <dimension ref="A1:F8"/>
  <sheetViews>
    <sheetView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15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15" t="s">
        <v>8361</v>
      </c>
      <c r="B8" s="9">
        <v>5</v>
      </c>
      <c r="C8" s="9">
        <v>81</v>
      </c>
      <c r="D8" s="9">
        <v>6</v>
      </c>
      <c r="E8" s="9">
        <v>248</v>
      </c>
      <c r="F8" s="9">
        <v>340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27CB-8DB2-4553-88B4-61B611F29949}">
  <sheetPr codeName="Sheet6"/>
  <dimension ref="A1:D6"/>
  <sheetViews>
    <sheetView workbookViewId="0">
      <selection activeCell="F3" sqref="F3"/>
    </sheetView>
  </sheetViews>
  <sheetFormatPr defaultRowHeight="15" x14ac:dyDescent="0.25"/>
  <cols>
    <col min="1" max="1" width="29.42578125" bestFit="1" customWidth="1"/>
    <col min="2" max="2" width="38.7109375" customWidth="1"/>
    <col min="3" max="3" width="8" bestFit="1" customWidth="1"/>
    <col min="4" max="4" width="8.28515625" bestFit="1" customWidth="1"/>
  </cols>
  <sheetData>
    <row r="1" spans="1:4" x14ac:dyDescent="0.25">
      <c r="A1" s="2" t="s">
        <v>8380</v>
      </c>
      <c r="B1" s="2" t="s">
        <v>4110</v>
      </c>
      <c r="C1" s="2" t="s">
        <v>8381</v>
      </c>
      <c r="D1" s="2" t="s">
        <v>8382</v>
      </c>
    </row>
    <row r="2" spans="1:4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</row>
    <row r="3" spans="1:4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</row>
    <row r="4" spans="1:4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</row>
    <row r="6" spans="1:4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xiaoyixie</cp:lastModifiedBy>
  <dcterms:created xsi:type="dcterms:W3CDTF">2017-04-20T15:17:24Z</dcterms:created>
  <dcterms:modified xsi:type="dcterms:W3CDTF">2022-10-14T03:01:59Z</dcterms:modified>
</cp:coreProperties>
</file>