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10804FBD-A917-4AB2-A981-86BCB866F92E}" xr6:coauthVersionLast="47" xr6:coauthVersionMax="47" xr10:uidLastSave="{00000000-0000-0000-0000-000000000000}"/>
  <bookViews>
    <workbookView xWindow="-108" yWindow="-108" windowWidth="23256" windowHeight="12456" activeTab="1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Advanced'!$I$14:$J$20</definedName>
    <definedName name="Montana">'Vlookup Advanced'!$L$14:$M$20</definedName>
    <definedName name="Paseo">'Vlookup Advanced'!$F$14:$G$20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J26" i="2"/>
  <c r="E7" i="2"/>
  <c r="E8" i="2"/>
  <c r="E9" i="2"/>
  <c r="E10" i="2"/>
  <c r="E6" i="2"/>
  <c r="D6" i="2"/>
  <c r="R6" i="2"/>
  <c r="D8" i="2"/>
  <c r="D7" i="2"/>
  <c r="D9" i="2"/>
  <c r="D10" i="2"/>
  <c r="I7" i="2"/>
  <c r="J3" i="2"/>
  <c r="I3" i="2"/>
  <c r="I11" i="4"/>
  <c r="I10" i="4"/>
  <c r="E10" i="4"/>
  <c r="K10" i="4"/>
  <c r="H11" i="4"/>
  <c r="H10" i="4"/>
  <c r="D10" i="4"/>
  <c r="K7" i="4"/>
  <c r="J7" i="4"/>
  <c r="I7" i="4"/>
  <c r="N5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14" i="4"/>
  <c r="C7" i="2"/>
  <c r="C8" i="2"/>
  <c r="C9" i="2"/>
  <c r="C10" i="2"/>
  <c r="C6" i="2"/>
  <c r="E7" i="4"/>
  <c r="D7" i="4"/>
  <c r="E11" i="4"/>
  <c r="D11" i="4"/>
  <c r="O19" i="2"/>
  <c r="I15" i="4" l="1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C29" i="2"/>
  <c r="C30" i="2"/>
  <c r="C31" i="2"/>
  <c r="C32" i="2"/>
  <c r="D17" i="2"/>
  <c r="D21" i="2"/>
  <c r="D20" i="2"/>
  <c r="D16" i="2"/>
  <c r="D22" i="2"/>
  <c r="D18" i="2"/>
  <c r="D19" i="2"/>
</calcChain>
</file>

<file path=xl/sharedStrings.xml><?xml version="1.0" encoding="utf-8"?>
<sst xmlns="http://schemas.openxmlformats.org/spreadsheetml/2006/main" count="142" uniqueCount="52">
  <si>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</si>
  <si>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</si>
  <si>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</si>
  <si>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</si>
  <si>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</si>
  <si>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</si>
  <si>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</si>
  <si>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</si>
  <si>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</si>
  <si>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</si>
  <si>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</si>
  <si>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</si>
  <si>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</si>
  <si>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</si>
  <si>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</si>
  <si>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</si>
  <si>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</si>
  <si>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</si>
  <si>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</si>
  <si>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</si>
  <si>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</si>
  <si>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</si>
  <si>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</si>
  <si>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</si>
  <si>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</si>
  <si>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</si>
  <si>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</si>
  <si>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</si>
  <si>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</si>
  <si>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</si>
  <si>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</si>
  <si>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</si>
  <si>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</si>
  <si>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</si>
  <si>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</si>
  <si>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</si>
  <si>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</si>
  <si>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</si>
  <si>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</si>
  <si>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</si>
  <si>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</si>
  <si>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</si>
  <si>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</si>
  <si>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</si>
  <si>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</si>
  <si>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Amarilla -145</t>
  </si>
  <si>
    <t>segment</t>
  </si>
  <si>
    <t>Total Profit</t>
  </si>
  <si>
    <t>LOOKUP(LEFT(B8,SEARCH(" ",B8)),$F$5:$F$10,$G$5:$G$10)</t>
  </si>
  <si>
    <t>LOOKUP(LEFT(B8,SEARCH(" ",B8)),$F$6:$F$10,$G$6:$G$10)</t>
  </si>
  <si>
    <t>VLOOKUP(C16,INDIRECT(B16),MATCH($D$15,$F$15:$G$15,1),TRUE)</t>
  </si>
  <si>
    <t>VLOOKUP(HLOOKUP($B$27,$F$27:$H$37,MATCH(VALUE(RIGHT(B28,LEN(B28)-FIND("-",B28)-1)),$G$27:$G$37,0),0),$F$27:$H$37,MATCH($C$27,$F$27:$H$27,0),0)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</si>
</sst>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rgb="FFF1F1F1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0" fillId="4" borderId="1" xfId="0" applyNumberFormat="1" applyFill="1" applyBorder="1"/>
    <xf numFmtId="0" fontId="4" fillId="0" borderId="1" xfId="0" applyFont="1" applyBorder="1"/>
    <xf numFmtId="0" fontId="4" fillId="4" borderId="1" xfId="0" applyFont="1" applyFill="1" applyBorder="1"/>
    <xf numFmtId="0" fontId="5" fillId="0" borderId="0" xfId="0" applyFon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Q27"/>
  <sheetViews>
    <sheetView topLeftCell="A2" zoomScale="85" workbookViewId="0">
      <selection activeCell="N11" sqref="N11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12.5546875" customWidth="1"/>
    <col min="8" max="8" width="26.6640625" customWidth="1"/>
    <col min="9" max="9" width="17.88671875" customWidth="1"/>
    <col min="10" max="10" width="12.88671875" customWidth="1"/>
    <col min="11" max="11" width="22" customWidth="1"/>
    <col min="12" max="12" width="8.44140625" bestFit="1" customWidth="1"/>
    <col min="13" max="13" width="17.5546875" bestFit="1" customWidth="1"/>
    <col min="15" max="15" width="11.88671875" customWidth="1"/>
  </cols>
  <sheetData>
    <row r="2" spans="2:17" ht="15.6" x14ac:dyDescent="0.3">
      <c r="B2" s="9" t="s">
        <v>19</v>
      </c>
    </row>
    <row r="3" spans="2:17" ht="18" x14ac:dyDescent="0.35">
      <c r="B3" s="9" t="s">
        <v>20</v>
      </c>
      <c r="G3" s="10"/>
    </row>
    <row r="4" spans="2:17" ht="18" x14ac:dyDescent="0.35">
      <c r="B4" s="9" t="s">
        <v>21</v>
      </c>
      <c r="G4" s="10"/>
    </row>
    <row r="5" spans="2:17" ht="18" x14ac:dyDescent="0.35">
      <c r="G5" s="10"/>
      <c r="N5">
        <f>SUMIFS($H$14:$H$27,$B$14:$B$27,$G$7,$C$14:$C$27,$H$7)</f>
        <v>1810800</v>
      </c>
    </row>
    <row r="6" spans="2:17" x14ac:dyDescent="0.3">
      <c r="B6" s="11" t="s">
        <v>22</v>
      </c>
      <c r="C6" s="11" t="s">
        <v>23</v>
      </c>
      <c r="D6" s="11" t="s">
        <v>24</v>
      </c>
      <c r="E6" s="11" t="s">
        <v>25</v>
      </c>
      <c r="G6" s="2" t="s">
        <v>46</v>
      </c>
      <c r="H6" s="2" t="s">
        <v>29</v>
      </c>
      <c r="I6" s="2" t="s">
        <v>24</v>
      </c>
      <c r="J6" s="2" t="s">
        <v>47</v>
      </c>
      <c r="K6" s="2" t="s">
        <v>25</v>
      </c>
    </row>
    <row r="7" spans="2:17" x14ac:dyDescent="0.3">
      <c r="B7" s="1" t="s">
        <v>37</v>
      </c>
      <c r="C7" s="1" t="s">
        <v>36</v>
      </c>
      <c r="D7" s="5">
        <f>IF(SUMIFS($H$14:$H$27,$B$14:$B$27,$B$7,$C$14:$C$27,$C$7)=0,"NA",SUMIFS($H$14:$H$27,$B$14:$B$27,$B$7,$C$14:$C$27,$C$7))</f>
        <v>1474650</v>
      </c>
      <c r="E7" s="5">
        <f>IF(COUNTIFS($B$14:$B$27,$B$7,$C$14:$C$27,$C$7)=0,"NA",COUNTIFS($B$14:$B$27,$B$7,$C$14:$C$27,$C$7))</f>
        <v>2</v>
      </c>
      <c r="G7" t="s">
        <v>34</v>
      </c>
      <c r="H7" t="s">
        <v>36</v>
      </c>
      <c r="I7">
        <f>IF(SUMIFS($H$14:$H$27,$B$14:$B$27,$G$7,$C$14:$C$27,$H$7)=0,"NA",SUMIFS($H$14:$H$27,$B$14:$B$27,$G$7,$C$14:$C$27,$H$7))</f>
        <v>1810800</v>
      </c>
      <c r="J7">
        <f>IF(SUMIFS($I$14:$I$27,$B$14:$B$27,$G$7,$C$14:$C$27,$H$7)=0,"NA",SUMIFS($I$14:$I$27,$B$14:$B$27,$G$7,$C$14:$C$27,$H$7))</f>
        <v>1140600</v>
      </c>
      <c r="K7">
        <f>IF(COUNTIFS($B$14:$B$27,$G$7,$C$14:$C$27,$H$7)=0,"NA",COUNTIFS($B$14:$B$27,$G$7,$C$14:$C$27,$H$7))</f>
        <v>2</v>
      </c>
    </row>
    <row r="9" spans="2:17" x14ac:dyDescent="0.3">
      <c r="C9" s="1"/>
      <c r="D9" s="1"/>
      <c r="E9" s="11" t="s">
        <v>26</v>
      </c>
      <c r="I9" s="2" t="s">
        <v>26</v>
      </c>
    </row>
    <row r="10" spans="2:17" x14ac:dyDescent="0.3">
      <c r="C10" s="11" t="s">
        <v>27</v>
      </c>
      <c r="D10" s="5">
        <f>MAX(M18:M22)</f>
        <v>260</v>
      </c>
      <c r="E10" s="5" t="str">
        <f>HLOOKUP($L$17,$L$17:$M$22,MATCH($D10,$M$17:$M$22,0),0)</f>
        <v>Amarilla</v>
      </c>
      <c r="G10" s="2" t="s">
        <v>27</v>
      </c>
      <c r="H10">
        <f>MAX(M18:M22)</f>
        <v>260</v>
      </c>
      <c r="I10" t="str">
        <f>HLOOKUP($L$17,$L$17:$M$22,MATCH($H$10,$M$17:$M$22,0),0)</f>
        <v>Amarilla</v>
      </c>
      <c r="K10">
        <f>MATCH($H$10,$M$17:$M$22,0)</f>
        <v>4</v>
      </c>
    </row>
    <row r="11" spans="2:17" x14ac:dyDescent="0.3">
      <c r="C11" s="11" t="s">
        <v>28</v>
      </c>
      <c r="D11" s="5">
        <f>MIN(M18:M22)</f>
        <v>5</v>
      </c>
      <c r="E11" s="5" t="str">
        <f>HLOOKUP($L$17,$L$17:$M$22,MATCH($D11,$M$17:$M$22,0),0)</f>
        <v>Montana</v>
      </c>
      <c r="G11" s="2" t="s">
        <v>28</v>
      </c>
      <c r="H11">
        <f>MIN(M18:M22)</f>
        <v>5</v>
      </c>
      <c r="I11" t="str">
        <f>HLOOKUP($L$17,$L$17:$M$22,MATCH($H$11,$M$17:$M$22,0),0)</f>
        <v>Montana</v>
      </c>
    </row>
    <row r="13" spans="2:17" x14ac:dyDescent="0.3">
      <c r="B13" s="13" t="s">
        <v>22</v>
      </c>
      <c r="C13" s="13" t="s">
        <v>29</v>
      </c>
      <c r="D13" s="13" t="s">
        <v>1</v>
      </c>
      <c r="E13" s="13" t="s">
        <v>2</v>
      </c>
      <c r="F13" s="14" t="s">
        <v>30</v>
      </c>
      <c r="G13" s="13" t="s">
        <v>31</v>
      </c>
      <c r="H13" s="14" t="s">
        <v>32</v>
      </c>
      <c r="I13" s="14" t="s">
        <v>33</v>
      </c>
      <c r="O13" s="2" t="s">
        <v>30</v>
      </c>
      <c r="P13" s="2" t="s">
        <v>32</v>
      </c>
      <c r="Q13" s="2" t="s">
        <v>33</v>
      </c>
    </row>
    <row r="14" spans="2:17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IF(D14="Paseo",E14*10,IF(D14="Velo",E14*120,IF(D14="Amarilla",E14*260,IF(D14="Montana",E14*5,IF(D14="VTT",E14*250,0)))))</f>
        <v>28510</v>
      </c>
      <c r="G14" s="1">
        <v>350</v>
      </c>
      <c r="H14" s="5">
        <f>E14*G14</f>
        <v>997850</v>
      </c>
      <c r="I14" s="5">
        <f>H14-F14</f>
        <v>969340</v>
      </c>
      <c r="O14">
        <f>_xlfn.IFS(D14="Paseo",E14*10,D14="Velo",E14*120,D14="Amarilla",E14*160,D14="Montana",E14*5,D14="VTT",E14*250)</f>
        <v>28510</v>
      </c>
      <c r="P14">
        <f>E14*G14</f>
        <v>997850</v>
      </c>
      <c r="Q14">
        <f>P14-O14</f>
        <v>969340</v>
      </c>
    </row>
    <row r="15" spans="2:17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IF(D15="Paseo",E15*10,IF(D15="Velo",E15*120,IF(D15="Amarilla",E15*260,IF(D15="Montana",E15*5,IF(D15="VTT",E15*250,0)))))</f>
        <v>34950</v>
      </c>
      <c r="G15" s="1">
        <v>300</v>
      </c>
      <c r="H15" s="5">
        <f t="shared" ref="H15:H27" si="1">E15*G15</f>
        <v>1048500</v>
      </c>
      <c r="I15" s="5">
        <f t="shared" ref="I15:I27" si="2">H15-F15</f>
        <v>1013550</v>
      </c>
      <c r="O15">
        <f t="shared" ref="O15:O27" si="3">_xlfn.IFS(D15="Paseo",E15*10,D15="Velo",E15*120,D15="Amarilla",E15*160,D15="Montana",E15*5,D15="VTT",E15*250)</f>
        <v>34950</v>
      </c>
      <c r="P15">
        <f t="shared" ref="P15:P27" si="4">E15*G15</f>
        <v>1048500</v>
      </c>
      <c r="Q15">
        <f t="shared" ref="Q15:Q27" si="5">P15-O15</f>
        <v>1013550</v>
      </c>
    </row>
    <row r="16" spans="2:17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26320</v>
      </c>
      <c r="G16" s="1">
        <v>350</v>
      </c>
      <c r="H16" s="5">
        <f t="shared" si="1"/>
        <v>921200</v>
      </c>
      <c r="I16" s="5">
        <f t="shared" si="2"/>
        <v>894880</v>
      </c>
      <c r="O16">
        <f t="shared" si="3"/>
        <v>26320</v>
      </c>
      <c r="P16">
        <f t="shared" si="4"/>
        <v>921200</v>
      </c>
      <c r="Q16">
        <f t="shared" si="5"/>
        <v>894880</v>
      </c>
    </row>
    <row r="17" spans="2:17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315840</v>
      </c>
      <c r="G17" s="1">
        <v>350</v>
      </c>
      <c r="H17" s="5">
        <f t="shared" si="1"/>
        <v>921200</v>
      </c>
      <c r="I17" s="5">
        <f t="shared" si="2"/>
        <v>605360</v>
      </c>
      <c r="L17" s="1" t="s">
        <v>1</v>
      </c>
      <c r="M17" s="1" t="s">
        <v>30</v>
      </c>
      <c r="O17">
        <f t="shared" si="3"/>
        <v>315840</v>
      </c>
      <c r="P17">
        <f t="shared" si="4"/>
        <v>921200</v>
      </c>
      <c r="Q17">
        <f t="shared" si="5"/>
        <v>605360</v>
      </c>
    </row>
    <row r="18" spans="2:17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308880</v>
      </c>
      <c r="G18" s="1">
        <v>300</v>
      </c>
      <c r="H18" s="5">
        <f t="shared" si="1"/>
        <v>772200</v>
      </c>
      <c r="I18" s="5">
        <f t="shared" si="2"/>
        <v>463320</v>
      </c>
      <c r="L18" s="1" t="s">
        <v>8</v>
      </c>
      <c r="M18" s="1">
        <v>10</v>
      </c>
      <c r="O18">
        <f t="shared" si="3"/>
        <v>308880</v>
      </c>
      <c r="P18">
        <f t="shared" si="4"/>
        <v>772200</v>
      </c>
      <c r="Q18">
        <f t="shared" si="5"/>
        <v>463320</v>
      </c>
    </row>
    <row r="19" spans="2:17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21510</v>
      </c>
      <c r="G19" s="1">
        <v>350</v>
      </c>
      <c r="H19" s="5">
        <f t="shared" si="1"/>
        <v>752850</v>
      </c>
      <c r="I19" s="5">
        <f t="shared" si="2"/>
        <v>731340</v>
      </c>
      <c r="L19" s="1" t="s">
        <v>10</v>
      </c>
      <c r="M19" s="1">
        <v>120</v>
      </c>
      <c r="O19">
        <f t="shared" si="3"/>
        <v>21510</v>
      </c>
      <c r="P19">
        <f t="shared" si="4"/>
        <v>752850</v>
      </c>
      <c r="Q19">
        <f t="shared" si="5"/>
        <v>731340</v>
      </c>
    </row>
    <row r="20" spans="2:17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643500</v>
      </c>
      <c r="G20" s="1">
        <v>300</v>
      </c>
      <c r="H20" s="5">
        <f t="shared" si="1"/>
        <v>742500</v>
      </c>
      <c r="I20" s="5">
        <f t="shared" si="2"/>
        <v>99000</v>
      </c>
      <c r="L20" s="1" t="s">
        <v>4</v>
      </c>
      <c r="M20" s="1">
        <v>260</v>
      </c>
      <c r="O20">
        <f t="shared" si="3"/>
        <v>396000</v>
      </c>
      <c r="P20">
        <f t="shared" si="4"/>
        <v>742500</v>
      </c>
      <c r="Q20">
        <f t="shared" si="5"/>
        <v>346500</v>
      </c>
    </row>
    <row r="21" spans="2:17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11137.5</v>
      </c>
      <c r="G21" s="1">
        <v>350</v>
      </c>
      <c r="H21" s="5">
        <f t="shared" si="1"/>
        <v>779625</v>
      </c>
      <c r="I21" s="5">
        <f t="shared" si="2"/>
        <v>768487.5</v>
      </c>
      <c r="L21" s="1" t="s">
        <v>16</v>
      </c>
      <c r="M21" s="1">
        <v>5</v>
      </c>
      <c r="O21">
        <f t="shared" si="3"/>
        <v>11137.5</v>
      </c>
      <c r="P21">
        <f t="shared" si="4"/>
        <v>779625</v>
      </c>
      <c r="Q21">
        <f t="shared" si="5"/>
        <v>768487.5</v>
      </c>
    </row>
    <row r="22" spans="2:17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635250</v>
      </c>
      <c r="G22" s="1">
        <v>300</v>
      </c>
      <c r="H22" s="5">
        <f t="shared" si="1"/>
        <v>762300</v>
      </c>
      <c r="I22" s="5">
        <f t="shared" si="2"/>
        <v>127050</v>
      </c>
      <c r="L22" s="1" t="s">
        <v>41</v>
      </c>
      <c r="M22" s="1">
        <v>250</v>
      </c>
      <c r="O22">
        <f t="shared" si="3"/>
        <v>635250</v>
      </c>
      <c r="P22">
        <f t="shared" si="4"/>
        <v>762300</v>
      </c>
      <c r="Q22">
        <f t="shared" si="5"/>
        <v>127050</v>
      </c>
    </row>
    <row r="23" spans="2:17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304320</v>
      </c>
      <c r="G23" s="1">
        <v>300</v>
      </c>
      <c r="H23" s="5">
        <f t="shared" si="1"/>
        <v>760800</v>
      </c>
      <c r="I23" s="5">
        <f t="shared" si="2"/>
        <v>456480</v>
      </c>
      <c r="O23">
        <f t="shared" si="3"/>
        <v>304320</v>
      </c>
      <c r="P23">
        <f t="shared" si="4"/>
        <v>760800</v>
      </c>
      <c r="Q23">
        <f t="shared" si="5"/>
        <v>456480</v>
      </c>
    </row>
    <row r="24" spans="2:17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20070</v>
      </c>
      <c r="G24" s="1">
        <v>350</v>
      </c>
      <c r="H24" s="5">
        <f t="shared" si="1"/>
        <v>702450</v>
      </c>
      <c r="I24" s="5">
        <f t="shared" si="2"/>
        <v>682380</v>
      </c>
      <c r="O24">
        <f t="shared" si="3"/>
        <v>20070</v>
      </c>
      <c r="P24">
        <f t="shared" si="4"/>
        <v>702450</v>
      </c>
      <c r="Q24">
        <f t="shared" si="5"/>
        <v>682380</v>
      </c>
    </row>
    <row r="25" spans="2:17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295200</v>
      </c>
      <c r="G25" s="1">
        <v>300</v>
      </c>
      <c r="H25" s="5">
        <f t="shared" si="1"/>
        <v>738000</v>
      </c>
      <c r="I25" s="5">
        <f t="shared" si="2"/>
        <v>442800</v>
      </c>
      <c r="O25">
        <f t="shared" si="3"/>
        <v>295200</v>
      </c>
      <c r="P25">
        <f t="shared" si="4"/>
        <v>738000</v>
      </c>
      <c r="Q25">
        <f t="shared" si="5"/>
        <v>442800</v>
      </c>
    </row>
    <row r="26" spans="2:17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19012.5</v>
      </c>
      <c r="G26" s="1">
        <v>300</v>
      </c>
      <c r="H26" s="5">
        <f t="shared" si="1"/>
        <v>1140750</v>
      </c>
      <c r="I26" s="5">
        <f t="shared" si="2"/>
        <v>1121737.5</v>
      </c>
      <c r="O26">
        <f t="shared" si="3"/>
        <v>19012.5</v>
      </c>
      <c r="P26">
        <f t="shared" si="4"/>
        <v>1140750</v>
      </c>
      <c r="Q26">
        <f t="shared" si="5"/>
        <v>1121737.5</v>
      </c>
    </row>
    <row r="27" spans="2:17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455220</v>
      </c>
      <c r="G27" s="1">
        <v>300</v>
      </c>
      <c r="H27" s="5">
        <f t="shared" si="1"/>
        <v>1138050</v>
      </c>
      <c r="I27" s="5">
        <f t="shared" si="2"/>
        <v>682830</v>
      </c>
      <c r="O27">
        <f t="shared" si="3"/>
        <v>455220</v>
      </c>
      <c r="P27">
        <f t="shared" si="4"/>
        <v>1138050</v>
      </c>
      <c r="Q27">
        <f t="shared" si="5"/>
        <v>682830</v>
      </c>
    </row>
  </sheetData>
  <dataValidations count="2">
    <dataValidation type="list" allowBlank="1" showInputMessage="1" showErrorMessage="1" sqref="B7 G7" xr:uid="{A349BA51-10FB-49B4-B60B-6B95A66233CD}">
      <formula1>$B$14:$B$27</formula1>
    </dataValidation>
    <dataValidation type="list" allowBlank="1" showInputMessage="1" showErrorMessage="1" sqref="C7 H7" xr:uid="{7DE195DE-2F2D-4FAD-BDF5-BFDCD2D98538}">
      <formula1>$C$14:$C$27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R37"/>
  <sheetViews>
    <sheetView tabSelected="1" topLeftCell="C19" zoomScale="176" workbookViewId="0">
      <selection activeCell="K26" sqref="K26"/>
    </sheetView>
  </sheetViews>
  <sheetFormatPr defaultRowHeight="14.4" x14ac:dyDescent="0.3"/>
  <cols>
    <col min="2" max="2" width="33.21875" bestFit="1" customWidth="1"/>
    <col min="3" max="3" width="9.109375" bestFit="1" customWidth="1"/>
    <col min="4" max="4" width="9.44140625" bestFit="1" customWidth="1"/>
    <col min="6" max="6" width="9.6640625" bestFit="1" customWidth="1"/>
    <col min="7" max="7" width="9.44140625" bestFit="1" customWidth="1"/>
  </cols>
  <sheetData>
    <row r="3" spans="2:18" x14ac:dyDescent="0.3">
      <c r="B3" s="2" t="s">
        <v>0</v>
      </c>
      <c r="I3" t="str">
        <f>LEFT(B6,SEARCH(" ",B6))</f>
        <v xml:space="preserve">Velo </v>
      </c>
      <c r="J3" t="str">
        <f>LEFT(B6,FIND(" ",B6))</f>
        <v xml:space="preserve">Velo </v>
      </c>
    </row>
    <row r="4" spans="2:18" x14ac:dyDescent="0.3">
      <c r="B4" s="2"/>
      <c r="K4" s="2"/>
    </row>
    <row r="5" spans="2:18" x14ac:dyDescent="0.3">
      <c r="B5" s="3" t="s">
        <v>1</v>
      </c>
      <c r="C5" s="3" t="s">
        <v>2</v>
      </c>
      <c r="D5" s="2"/>
      <c r="F5" s="3" t="s">
        <v>1</v>
      </c>
      <c r="G5" s="3" t="s">
        <v>2</v>
      </c>
      <c r="K5" t="s">
        <v>48</v>
      </c>
      <c r="R5" s="16"/>
    </row>
    <row r="6" spans="2:18" x14ac:dyDescent="0.3">
      <c r="B6" s="1" t="s">
        <v>3</v>
      </c>
      <c r="C6" s="1">
        <f>LOOKUP(LEFT(B6,SEARCH(" ",B6)),$F$6:$F$10,$G$6:$G$10)</f>
        <v>2574</v>
      </c>
      <c r="D6">
        <f>LOOKUP(LEFT(B6,SEARCH(" ",B6)),$F$6:$F$10,$G$6:$G$10)</f>
        <v>2574</v>
      </c>
      <c r="E6">
        <f>LOOKUP(LEFT(B6,SEARCH(" ",B6)),$F$6:$G$10)</f>
        <v>2574</v>
      </c>
      <c r="F6" s="1" t="s">
        <v>4</v>
      </c>
      <c r="G6" s="1">
        <v>2475</v>
      </c>
      <c r="R6" s="15" t="str">
        <f>TEXT(DATE(A1,7,4),"dddd")</f>
        <v>Wednesday</v>
      </c>
    </row>
    <row r="7" spans="2:18" x14ac:dyDescent="0.3">
      <c r="B7" s="1" t="s">
        <v>5</v>
      </c>
      <c r="C7" s="1">
        <f>LOOKUP(LEFT(B7,SEARCH(" ",B7)),$F$6:$F$10,$G$6:$G$10)</f>
        <v>2151</v>
      </c>
      <c r="D7">
        <f t="shared" ref="D7:D10" si="0">LOOKUP(LEFT(B7,SEARCH(" ",B7)),$F$6:$F$10,$G$6:$G$10)</f>
        <v>2151</v>
      </c>
      <c r="E7">
        <f t="shared" ref="E7:E10" si="1">LOOKUP(LEFT(B7,SEARCH(" ",B7)),$F$6:$G$10)</f>
        <v>2151</v>
      </c>
      <c r="F7" s="1" t="s">
        <v>6</v>
      </c>
      <c r="G7" s="1">
        <v>2227.5</v>
      </c>
      <c r="I7" t="str">
        <f>LEFT(B8,SEARCH(" ",B8))</f>
        <v xml:space="preserve">Amarilla </v>
      </c>
      <c r="K7" t="s">
        <v>49</v>
      </c>
    </row>
    <row r="8" spans="2:18" x14ac:dyDescent="0.3">
      <c r="B8" s="1" t="s">
        <v>45</v>
      </c>
      <c r="C8" s="1">
        <f>LOOKUP(LEFT(B8,SEARCH(" ",B8)),$F$6:$F$10,$G$6:$G$10)</f>
        <v>2475</v>
      </c>
      <c r="D8">
        <f>LOOKUP(LEFT(B8,SEARCH(" ",B8)),$F$6:$F$10,$G$6:$G$10)</f>
        <v>2475</v>
      </c>
      <c r="E8">
        <f t="shared" si="1"/>
        <v>2475</v>
      </c>
      <c r="F8" s="1" t="s">
        <v>8</v>
      </c>
      <c r="G8" s="1">
        <v>2151</v>
      </c>
    </row>
    <row r="9" spans="2:18" x14ac:dyDescent="0.3">
      <c r="B9" s="1" t="s">
        <v>9</v>
      </c>
      <c r="C9" s="1">
        <f>LOOKUP(LEFT(B9,SEARCH(" ",B9)),$F$6:$F$10,$G$6:$G$10)</f>
        <v>2227.5</v>
      </c>
      <c r="D9">
        <f t="shared" si="0"/>
        <v>2227.5</v>
      </c>
      <c r="E9">
        <f t="shared" si="1"/>
        <v>2227.5</v>
      </c>
      <c r="F9" s="1" t="s">
        <v>10</v>
      </c>
      <c r="G9" s="1">
        <v>2574</v>
      </c>
    </row>
    <row r="10" spans="2:18" x14ac:dyDescent="0.3">
      <c r="B10" s="1" t="s">
        <v>11</v>
      </c>
      <c r="C10" s="1">
        <f>LOOKUP(LEFT(B10,SEARCH(" ",B10)),$F$6:$F$10,$G$6:$G$10)</f>
        <v>2541</v>
      </c>
      <c r="D10">
        <f t="shared" si="0"/>
        <v>2541</v>
      </c>
      <c r="E10">
        <f t="shared" si="1"/>
        <v>2541</v>
      </c>
      <c r="F10" s="1" t="s">
        <v>12</v>
      </c>
      <c r="G10" s="1">
        <v>2541</v>
      </c>
    </row>
    <row r="12" spans="2:18" s="4" customFormat="1" x14ac:dyDescent="0.3"/>
    <row r="13" spans="2:18" x14ac:dyDescent="0.3">
      <c r="B13" s="2" t="s">
        <v>13</v>
      </c>
    </row>
    <row r="14" spans="2:18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8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  <c r="O15" t="s">
        <v>50</v>
      </c>
    </row>
    <row r="16" spans="2:18" x14ac:dyDescent="0.3">
      <c r="B16" s="1" t="s">
        <v>8</v>
      </c>
      <c r="C16" s="1">
        <v>1655.08</v>
      </c>
      <c r="D16" s="12">
        <f ca="1">VLOOKUP(C16,INDIRECT(B16),MATCH($D$15,$F$15:$G$15,1),TRUE)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5" x14ac:dyDescent="0.3">
      <c r="B17" s="1" t="s">
        <v>4</v>
      </c>
      <c r="C17" s="1">
        <v>1822.59</v>
      </c>
      <c r="D17" s="12">
        <f t="shared" ref="D17:D22" ca="1" si="2">VLOOKUP(C17,INDIRECT(B17),MATCH($D$15,$F$15:$G$15,1),TRUE)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5" x14ac:dyDescent="0.3">
      <c r="B18" s="1" t="s">
        <v>4</v>
      </c>
      <c r="C18" s="1">
        <v>1730.54</v>
      </c>
      <c r="D18" s="12">
        <f t="shared" ca="1" si="2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5" x14ac:dyDescent="0.3">
      <c r="B19" s="1" t="s">
        <v>6</v>
      </c>
      <c r="C19" s="1">
        <v>1685.6</v>
      </c>
      <c r="D19" s="12">
        <f t="shared" ca="1" si="2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  <c r="O19" t="e">
        <f ca="1">INDIRECT(B16,TRUE)</f>
        <v>#VALUE!</v>
      </c>
    </row>
    <row r="20" spans="2:15" x14ac:dyDescent="0.3">
      <c r="B20" s="1" t="s">
        <v>8</v>
      </c>
      <c r="C20" s="1">
        <v>1685.6</v>
      </c>
      <c r="D20" s="12">
        <f t="shared" ca="1" si="2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5" x14ac:dyDescent="0.3">
      <c r="B21" s="1" t="s">
        <v>16</v>
      </c>
      <c r="C21" s="1">
        <v>1763.8600000000001</v>
      </c>
      <c r="D21" s="12">
        <f t="shared" ca="1" si="2"/>
        <v>7.0000000000000007E-2</v>
      </c>
    </row>
    <row r="22" spans="2:15" x14ac:dyDescent="0.3">
      <c r="B22" s="1" t="s">
        <v>8</v>
      </c>
      <c r="C22" s="1">
        <v>2293.1999999999998</v>
      </c>
      <c r="D22" s="12">
        <f t="shared" ca="1" si="2"/>
        <v>0.15</v>
      </c>
    </row>
    <row r="24" spans="2:15" s="4" customFormat="1" x14ac:dyDescent="0.3"/>
    <row r="25" spans="2:15" x14ac:dyDescent="0.3">
      <c r="B25" s="2" t="s">
        <v>17</v>
      </c>
    </row>
    <row r="26" spans="2:15" x14ac:dyDescent="0.3">
      <c r="J26" t="str">
        <f>HLOOKUP($B$27,$F$27:$H$37,MATCH(VALUE(RIGHT(B28,LEN(B28)-FIND("-",B28)-1)),$G$27:$G$37,0),0)</f>
        <v>Velo</v>
      </c>
    </row>
    <row r="27" spans="2:15" x14ac:dyDescent="0.3">
      <c r="B27" s="3" t="s">
        <v>1</v>
      </c>
      <c r="C27" s="3" t="s">
        <v>2</v>
      </c>
      <c r="F27" s="3" t="s">
        <v>1</v>
      </c>
      <c r="G27" s="3" t="s">
        <v>18</v>
      </c>
      <c r="H27" s="3" t="s">
        <v>2</v>
      </c>
    </row>
    <row r="28" spans="2:15" x14ac:dyDescent="0.3">
      <c r="B28" s="1" t="s">
        <v>3</v>
      </c>
      <c r="C28" s="1">
        <f>VLOOKUP(HLOOKUP($B$27,$F$27:$H$37,MATCH(VALUE(RIGHT(B28,LEN(B28)-FIND("-",B28)-1)),$G$27:$G$37,0),0),$F$27:$H$37,MATCH($C$27,$F$27:$H$27,0),0)</f>
        <v>2574</v>
      </c>
      <c r="F28" s="1" t="s">
        <v>8</v>
      </c>
      <c r="G28" s="8">
        <v>895</v>
      </c>
      <c r="H28" s="1">
        <v>2151</v>
      </c>
      <c r="J28" t="s">
        <v>51</v>
      </c>
    </row>
    <row r="29" spans="2:15" x14ac:dyDescent="0.3">
      <c r="B29" s="1" t="s">
        <v>5</v>
      </c>
      <c r="C29" s="1">
        <f>VLOOKUP(HLOOKUP($B$27,$F$27:$H$37,MATCH(VALUE(RIGHT(B29,LEN(B29)-FIND("-",B29)-1)),$G$27:$G$37,0),0),$F$27:$H$37,MATCH($C$27,$F$27:$H$27,0),0)</f>
        <v>2151</v>
      </c>
      <c r="F29" s="1" t="s">
        <v>6</v>
      </c>
      <c r="G29" s="8">
        <v>125</v>
      </c>
      <c r="H29" s="1">
        <v>2227.5</v>
      </c>
    </row>
    <row r="30" spans="2:15" x14ac:dyDescent="0.3">
      <c r="B30" s="1" t="s">
        <v>7</v>
      </c>
      <c r="C30" s="1">
        <f>VLOOKUP(HLOOKUP($B$27,$F$27:$H$37,MATCH(VALUE(RIGHT(B30,LEN(B30)-FIND("-",B30)-1)),$G$27:$G$37,0),0),$F$27:$H$37,MATCH($C$27,$F$27:$H$27,0),0)</f>
        <v>2475</v>
      </c>
      <c r="F30" s="1" t="s">
        <v>4</v>
      </c>
      <c r="G30" s="8">
        <v>145</v>
      </c>
      <c r="H30" s="1">
        <v>2475</v>
      </c>
    </row>
    <row r="31" spans="2:15" x14ac:dyDescent="0.3">
      <c r="B31" s="1" t="s">
        <v>9</v>
      </c>
      <c r="C31" s="1">
        <f>VLOOKUP(HLOOKUP($B$27,$F$27:$H$37,MATCH(VALUE(RIGHT(B31,LEN(B31)-FIND("-",B31)-1)),$G$27:$G$37,0),0),$F$27:$H$37,MATCH($C$27,$F$27:$H$27,0),0)</f>
        <v>2227.5</v>
      </c>
      <c r="F31" s="1" t="s">
        <v>6</v>
      </c>
      <c r="G31" s="8">
        <v>848</v>
      </c>
      <c r="H31" s="8">
        <v>2537.25</v>
      </c>
    </row>
    <row r="32" spans="2:15" x14ac:dyDescent="0.3">
      <c r="B32" s="1" t="s">
        <v>11</v>
      </c>
      <c r="C32" s="1">
        <f>VLOOKUP(HLOOKUP($B$27,$F$27:$H$37,MATCH(VALUE(RIGHT(B32,LEN(B32)-FIND("-",B32)-1)),$G$27:$G$37,0),0),$F$27:$H$37,MATCH($C$27,$F$27:$H$27,0),0)</f>
        <v>2541</v>
      </c>
      <c r="F32" s="1" t="s">
        <v>12</v>
      </c>
      <c r="G32" s="8">
        <v>777</v>
      </c>
      <c r="H32" s="1">
        <v>2541</v>
      </c>
    </row>
    <row r="33" spans="6:8" x14ac:dyDescent="0.3">
      <c r="F33" s="1" t="s">
        <v>10</v>
      </c>
      <c r="G33" s="8">
        <v>235</v>
      </c>
      <c r="H33" s="1">
        <v>2574</v>
      </c>
    </row>
    <row r="34" spans="6:8" x14ac:dyDescent="0.3">
      <c r="F34" s="1" t="s">
        <v>8</v>
      </c>
      <c r="G34" s="8">
        <v>985</v>
      </c>
      <c r="H34" s="8">
        <v>2585.1</v>
      </c>
    </row>
    <row r="35" spans="6:8" x14ac:dyDescent="0.3">
      <c r="F35" s="1" t="s">
        <v>10</v>
      </c>
      <c r="G35" s="8">
        <v>1122</v>
      </c>
      <c r="H35" s="8">
        <v>2632.95</v>
      </c>
    </row>
    <row r="36" spans="6:8" x14ac:dyDescent="0.3">
      <c r="F36" s="1" t="s">
        <v>12</v>
      </c>
      <c r="G36" s="8">
        <v>1260</v>
      </c>
      <c r="H36" s="8">
        <v>2680.8</v>
      </c>
    </row>
    <row r="37" spans="6:8" x14ac:dyDescent="0.3"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</cp:lastModifiedBy>
  <dcterms:created xsi:type="dcterms:W3CDTF">2022-07-27T07:17:57Z</dcterms:created>
  <dcterms:modified xsi:type="dcterms:W3CDTF">2023-07-04T19:36:56Z</dcterms:modified>
</cp:coreProperties>
</file>