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F058BDB-275C-4E0C-9B0B-11D66377CEEE}" xr6:coauthVersionLast="47" xr6:coauthVersionMax="47" xr10:uidLastSave="{00000000-0000-0000-0000-000000000000}"/>
  <bookViews>
    <workbookView xWindow="41010" yWindow="3010" windowWidth="26400" windowHeight="18030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1" l="1"/>
  <c r="AA75" i="1"/>
  <c r="AA86" i="1"/>
  <c r="AA78" i="1"/>
  <c r="AA73" i="1"/>
  <c r="AA72" i="1"/>
  <c r="AA64" i="1"/>
  <c r="AA62" i="1"/>
  <c r="AA54" i="1"/>
  <c r="AA51" i="1"/>
  <c r="AA45" i="1"/>
  <c r="AA2" i="1"/>
  <c r="AA44" i="1"/>
  <c r="AD22" i="1"/>
  <c r="AD40" i="1" s="1"/>
  <c r="AC22" i="1"/>
  <c r="AB22" i="1"/>
  <c r="AD23" i="1"/>
  <c r="AC23" i="1"/>
  <c r="AB23" i="1"/>
  <c r="AD19" i="1"/>
  <c r="AC19" i="1"/>
  <c r="AB19" i="1"/>
  <c r="AD18" i="1"/>
  <c r="AC18" i="1"/>
  <c r="AB18" i="1"/>
  <c r="AD17" i="1"/>
  <c r="AC17" i="1"/>
  <c r="AB17" i="1"/>
  <c r="AA22" i="1"/>
  <c r="AA17" i="1"/>
  <c r="AA18" i="1"/>
  <c r="AA19" i="1"/>
  <c r="AA23" i="1"/>
  <c r="AH29" i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C40" i="1"/>
  <c r="AB40" i="1"/>
  <c r="AD27" i="1"/>
  <c r="AC27" i="1"/>
  <c r="AB27" i="1"/>
  <c r="AA27" i="1"/>
  <c r="AD28" i="1"/>
  <c r="AC28" i="1"/>
  <c r="AB28" i="1"/>
  <c r="AA28" i="1"/>
  <c r="S36" i="1"/>
  <c r="V36" i="1"/>
  <c r="AB36" i="1"/>
  <c r="AC36" i="1" s="1"/>
  <c r="AD36" i="1" s="1"/>
  <c r="F143" i="1"/>
  <c r="F141" i="1"/>
  <c r="F140" i="1"/>
  <c r="C144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4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4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4" i="1"/>
  <c r="BB144" i="1"/>
  <c r="J143" i="1"/>
  <c r="BC143" i="1" s="1"/>
  <c r="J141" i="1"/>
  <c r="BC141" i="1" s="1"/>
  <c r="J140" i="1"/>
  <c r="BC140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4" i="1"/>
  <c r="H144" i="1"/>
  <c r="I144" i="1"/>
  <c r="M77" i="1"/>
  <c r="N77" i="1" s="1"/>
  <c r="BD77" i="1" s="1"/>
  <c r="M62" i="1"/>
  <c r="M51" i="1"/>
  <c r="M45" i="1"/>
  <c r="M44" i="1" s="1"/>
  <c r="O144" i="1"/>
  <c r="N144" i="1"/>
  <c r="BD144" i="1" s="1"/>
  <c r="N143" i="1"/>
  <c r="BD143" i="1" s="1"/>
  <c r="N140" i="1"/>
  <c r="BD140" i="1" s="1"/>
  <c r="N141" i="1"/>
  <c r="BD141" i="1" s="1"/>
  <c r="N89" i="1"/>
  <c r="N62" i="1"/>
  <c r="N51" i="1"/>
  <c r="BD51" i="1" s="1"/>
  <c r="N45" i="1"/>
  <c r="N44" i="1" s="1"/>
  <c r="J15" i="1"/>
  <c r="J14" i="1"/>
  <c r="N14" i="1"/>
  <c r="N15" i="1"/>
  <c r="Q144" i="1"/>
  <c r="R143" i="1"/>
  <c r="BE143" i="1" s="1"/>
  <c r="R141" i="1"/>
  <c r="BE141" i="1" s="1"/>
  <c r="R140" i="1"/>
  <c r="BE140" i="1" s="1"/>
  <c r="V143" i="1"/>
  <c r="BF143" i="1" s="1"/>
  <c r="V144" i="1"/>
  <c r="BF144" i="1" s="1"/>
  <c r="Z142" i="1"/>
  <c r="BG142" i="1" s="1"/>
  <c r="V142" i="1"/>
  <c r="BF142" i="1" s="1"/>
  <c r="Z141" i="1"/>
  <c r="BG141" i="1" s="1"/>
  <c r="V141" i="1"/>
  <c r="BF141" i="1" s="1"/>
  <c r="V140" i="1"/>
  <c r="BF140" i="1" s="1"/>
  <c r="Z144" i="1"/>
  <c r="BG144" i="1" s="1"/>
  <c r="Z143" i="1"/>
  <c r="BG143" i="1" s="1"/>
  <c r="Z140" i="1"/>
  <c r="BG140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A87" i="1" l="1"/>
  <c r="AH30" i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4" i="1"/>
  <c r="BC144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4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4" i="1"/>
  <c r="BE144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5" i="1"/>
  <c r="BD24" i="1"/>
  <c r="AA123" i="1" l="1"/>
  <c r="AA24" i="1" s="1"/>
  <c r="AA124" i="1"/>
  <c r="AA136" i="1" s="1"/>
  <c r="I75" i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AA137" i="1"/>
  <c r="H87" i="1" l="1"/>
  <c r="I87" i="1"/>
  <c r="F30" i="1"/>
  <c r="F32" i="1" s="1"/>
  <c r="F34" i="1" s="1"/>
  <c r="F41" i="1"/>
  <c r="AA26" i="1"/>
  <c r="AA42" i="1"/>
  <c r="AA39" i="1"/>
  <c r="S132" i="1"/>
  <c r="S125" i="1" s="1"/>
  <c r="F35" i="1" l="1"/>
  <c r="F64" i="1"/>
  <c r="AA41" i="1"/>
  <c r="AA30" i="1"/>
  <c r="AA32" i="1" s="1"/>
  <c r="AA25" i="1"/>
  <c r="X129" i="1"/>
  <c r="T129" i="1"/>
  <c r="T125" i="1" s="1"/>
  <c r="AA33" i="1" l="1"/>
  <c r="AA34" i="1" s="1"/>
  <c r="AA35" i="1" s="1"/>
  <c r="Y129" i="1"/>
  <c r="X125" i="1"/>
  <c r="AB129" i="1"/>
  <c r="AB125" i="1" s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Y62" i="1"/>
  <c r="X62" i="1"/>
  <c r="Y51" i="1"/>
  <c r="Y45" i="1"/>
  <c r="Y31" i="1"/>
  <c r="BG19" i="1"/>
  <c r="BG18" i="1"/>
  <c r="BG23" i="1"/>
  <c r="AW30" i="1" l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BF17" i="1"/>
  <c r="BF24" i="1" s="1"/>
  <c r="Y26" i="1"/>
  <c r="Y123" i="1"/>
  <c r="S24" i="1"/>
  <c r="S123" i="1" s="1"/>
  <c r="S137" i="1" s="1"/>
  <c r="S124" i="1"/>
  <c r="AB123" i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BE66" i="1" l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AB39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4" i="1"/>
  <c r="V136" i="1" s="1"/>
  <c r="AC123" i="1"/>
  <c r="AC24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23" i="1"/>
  <c r="AD24" i="1" s="1"/>
  <c r="BH24" i="1" s="1"/>
  <c r="AD124" i="1"/>
  <c r="Z136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BF83" i="1" l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BH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BH26" i="1"/>
  <c r="BH25" i="1" s="1"/>
  <c r="AD25" i="1"/>
  <c r="S35" i="1"/>
  <c r="T64" i="1"/>
  <c r="V73" i="1"/>
  <c r="BF67" i="1"/>
  <c r="BF73" i="1" s="1"/>
  <c r="U78" i="1"/>
  <c r="U87" i="1" s="1"/>
  <c r="BI24" i="1"/>
  <c r="BJ24" i="1" s="1"/>
  <c r="BK24" i="1" s="1"/>
  <c r="BL24" i="1" s="1"/>
  <c r="BM24" i="1" s="1"/>
  <c r="BN24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BI38" i="1"/>
  <c r="AD33" i="1"/>
  <c r="BH33" i="1" s="1"/>
  <c r="AD34" i="1"/>
  <c r="AD35" i="1" s="1"/>
  <c r="BF75" i="1"/>
  <c r="BF78" i="1" s="1"/>
  <c r="Z34" i="1"/>
  <c r="BG33" i="1"/>
  <c r="BH29" i="1"/>
  <c r="BH30" i="1" s="1"/>
  <c r="BH32" i="1" s="1"/>
  <c r="BI27" i="1"/>
  <c r="BH41" i="1"/>
  <c r="BJ38" i="1"/>
  <c r="BI26" i="1"/>
  <c r="BI25" i="1" s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I30" i="1" s="1"/>
  <c r="BI32" i="1" s="1"/>
  <c r="BI33" i="1" s="1"/>
  <c r="BI34" i="1" s="1"/>
  <c r="BI35" i="1" s="1"/>
  <c r="BG34" i="1"/>
  <c r="BI41" i="1"/>
  <c r="BK38" i="1"/>
  <c r="BJ26" i="1"/>
  <c r="BJ25" i="1" s="1"/>
  <c r="BH34" i="1"/>
  <c r="V38" i="1"/>
  <c r="Z38" i="1"/>
  <c r="V26" i="1"/>
  <c r="V39" i="1"/>
  <c r="V42" i="1"/>
  <c r="BG35" i="1" l="1"/>
  <c r="BG64" i="1"/>
  <c r="BG38" i="1"/>
  <c r="BK27" i="1"/>
  <c r="BJ29" i="1"/>
  <c r="BJ30" i="1" s="1"/>
  <c r="BJ32" i="1" s="1"/>
  <c r="BH35" i="1"/>
  <c r="BJ41" i="1"/>
  <c r="BL38" i="1"/>
  <c r="BK26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K30" i="1" s="1"/>
  <c r="BK32" i="1" s="1"/>
  <c r="BK33" i="1" s="1"/>
  <c r="BK34" i="1" s="1"/>
  <c r="BK35" i="1" s="1"/>
  <c r="BK41" i="1"/>
  <c r="BK25" i="1"/>
  <c r="BL26" i="1"/>
  <c r="BL41" i="1" s="1"/>
  <c r="BM38" i="1"/>
  <c r="BJ33" i="1"/>
  <c r="BJ34" i="1" s="1"/>
  <c r="BF35" i="1" l="1"/>
  <c r="BF64" i="1"/>
  <c r="BF87" i="1"/>
  <c r="BM27" i="1"/>
  <c r="BM29" i="1" s="1"/>
  <c r="BL29" i="1"/>
  <c r="BL30" i="1" s="1"/>
  <c r="BL32" i="1" s="1"/>
  <c r="BL33" i="1" s="1"/>
  <c r="BL34" i="1" s="1"/>
  <c r="BL25" i="1"/>
  <c r="BJ35" i="1"/>
  <c r="BM26" i="1"/>
  <c r="BM30" i="1" l="1"/>
  <c r="BM32" i="1" s="1"/>
  <c r="BM33" i="1" s="1"/>
  <c r="BM34" i="1" s="1"/>
  <c r="BM35" i="1" s="1"/>
  <c r="BM41" i="1"/>
  <c r="BL35" i="1"/>
  <c r="BM25" i="1"/>
  <c r="BN34" i="1" l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  <c r="S136" i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tc={0AFD1808-6C0F-4C3F-9836-027F1D0FF106}</author>
    <author>tc={48933EFE-5C5F-49EA-A80E-E765DE830619}</author>
    <author>tc={BDF99649-FFA5-4806-8F0A-EDE5EB314212}</author>
    <author>tc={4E056475-A7E3-43D8-B802-93813DACE25F}</author>
    <author>tc={472BDDD3-4E0A-4C08-8760-ABFC4732C8A2}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consensus, moved up to 43.34B</t>
      </text>
    </comment>
    <comment ref="AB24" authorId="12" shapeId="0" xr:uid="{0AFD1808-6C0F-4C3F-9836-027F1D0FF106}">
      <text>
        <t>[Threaded comment]
Your version of Excel allows you to read this threaded comment; however, any edits to it will get removed if the file is opened in a newer version of Excel. Learn more: https://go.microsoft.com/fwlink/?linkid=870924
Comment:
    45.92B consensus 5/28/25</t>
      </text>
    </comment>
    <comment ref="AC24" authorId="13" shapeId="0" xr:uid="{48933EFE-5C5F-49EA-A80E-E765DE83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51.75B consensus 5/28/25</t>
      </text>
    </comment>
    <comment ref="AD24" authorId="14" shapeId="0" xr:uid="{BDF99649-FFA5-4806-8F0A-EDE5EB31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57.23B consensus 5/28/25</t>
      </text>
    </comment>
    <comment ref="BH24" authorId="15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BI24" authorId="16" shapeId="0" xr:uid="{472BDDD3-4E0A-4C08-8760-ABFC4732C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247.91B consensus 5/28/25</t>
      </text>
    </comment>
    <comment ref="C144" authorId="17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8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9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20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21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22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23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4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5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6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4" authorId="27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4" authorId="28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<sst xmlns="http://schemas.openxmlformats.org/spreadsheetml/2006/main" count="279" uniqueCount="251">
  <si>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</si>
  <si>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</si>
  <si>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</si>
  <si>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</si>
  <si>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</si>
  <si>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</si>
  <si>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</si>
  <si>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</si>
  <si>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</si>
  <si>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</si>
  <si>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</si>
  <si>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</si>
  <si>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</si>
  <si>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</si>
  <si>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</si>
  <si>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</si>
  <si>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</si>
  <si>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</si>
  <si>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</si>
  <si>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</si>
  <si>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</si>
  <si>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</si>
  <si>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</si>
  <si>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</si>
  <si>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</si>
  <si>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</si>
  <si>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</si>
  <si>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</si>
  <si>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</si>
  <si>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</si>
  <si>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</si>
  <si>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</si>
  <si>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</si>
  <si>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</si>
  <si>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</si>
  <si>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</si>
  <si>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</si>
  <si>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</si>
  <si>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</si>
  <si>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</si>
  <si>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</si>
  <si>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</si>
  <si>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</si>
  <si>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</si>
  <si>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</si>
  <si>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</si>
  <si>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</si>
  <si>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</si>
  <si>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</si>
  <si>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</si>
  <si>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</si>
  <si>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</si>
  <si>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</si>
  <si>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</si>
  <si>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</si>
  <si>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</si>
  <si>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</si>
  <si>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</si>
  <si>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</si>
  <si>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</si>
  <si>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</si>
  <si>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</si>
  <si>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</si>
  <si>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</si>
  <si>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</si>
  <si>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</si>
  <si>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</si>
  <si>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</si>
  <si>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</si>
  <si>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</si>
  <si>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</si>
  <si>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</si>
  <si>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</si>
  <si>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</si>
  <si>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</si>
  <si>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</si>
  <si>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</si>
  <si>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</si>
  <si>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</si>
  <si>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</si>
  <si>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</si>
  <si>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</si>
  <si>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</si>
  <si>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</si>
  <si>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</si>
  <si>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</si>
  <si>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</si>
  <si>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</si>
  <si>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</si>
  <si>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</si>
  <si>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</si>
  <si>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</si>
  <si>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</si>
  <si>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</si>
  <si>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</si>
  <si>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</si>
  <si>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</si>
  <si>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</si>
  <si>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</si>
  <si>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</si>
  <si>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</si>
  <si>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</si>
  <si>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</si>
  <si>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</si>
  <si>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</si>
  <si>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</si>
  <si>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</si>
  <si>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</si>
  <si>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</si>
  <si>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</si>
  <si>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</si>
  <si>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</si>
  <si>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</si>
  <si>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</si>
  <si>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</si>
  <si>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</si>
  <si>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</si>
  <si>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</si>
  <si>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</si>
  <si>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</si>
  <si>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</si>
  <si>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</si>
  <si>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</si>
  <si>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</si>
  <si>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</si>
  <si>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</si>
  <si>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</si>
  <si>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</si>
  <si>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</si>
  <si>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</si>
  <si>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</si>
  <si>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</si>
  <si>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</si>
  <si>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</si>
  <si>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</si>
  <si>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</si>
  <si>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</si>
  <si>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</si>
  <si>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</si>
  <si>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</si>
  <si>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</si>
  <si>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</si>
  <si>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</si>
  <si>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</si>
  <si>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</si>
  <si>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</si>
  <si>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</si>
  <si>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</si>
  <si>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</si>
  <si>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</si>
  <si>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</si>
  <si>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</si>
  <si>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</si>
  <si>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</si>
  <si>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</si>
  <si>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</si>
  <si>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</si>
  <si>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</si>
  <si>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</si>
  <si>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</si>
  <si>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</si>
  <si>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</si>
  <si>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</si>
  <si>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</si>
  <si>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</si>
  <si>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</si>
  <si>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</si>
  <si>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</si>
  <si>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</si>
  <si>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</si>
  <si>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</si>
  <si>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</si>
  <si>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</si>
  <si>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</si>
  <si>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</si>
  <si>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</si>
  <si>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</si>
  <si>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</si>
  <si>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</si>
  <si>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</si>
  <si>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</si>
  <si>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</si>
  <si>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</si>
  <si>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</si>
  <si>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</si>
  <si>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</si>
  <si>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</si>
  <si>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</si>
  <si>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</si>
  <si>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</si>
  <si>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</si>
  <si>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</si>
  <si>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</si>
  <si>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</si>
  <si>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</si>
  <si>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</si>
  <si>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</si>
  <si>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</si>
  <si>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</si>
  <si>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</si>
  <si>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</si>
  <si>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</si>
  <si>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</si>
  <si>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</si>
  <si>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</si>
  <si>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</si>
  <si>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</si>
  <si>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</si>
  <si>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</si>
  <si>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</si>
  <si>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</si>
  <si>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</si>
  <si>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</si>
  <si>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</si>
  <si>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</si>
  <si>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</si>
  <si>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</si>
  <si>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</si>
  <si>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</si>
  <si>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</si>
  <si>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</si>
  <si>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</si>
  <si>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</si>
  <si>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</si>
  <si>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</si>
  <si>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</si>
  <si>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</si>
  <si>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</si>
  <si>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</si>
  <si>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</si>
  <si>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</si>
  <si>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</si>
  <si>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</si>
  <si>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</si>
  <si>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</si>
  <si>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</si>
  <si>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</si>
  <si>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</si>
  <si>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</si>
  <si>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</si>
  <si>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</si>
  <si>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</si>
  <si>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</si>
  <si>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Rubin</t>
  </si>
  <si>
    <t>B100</t>
  </si>
  <si>
    <t>R100</t>
  </si>
  <si>
    <t>250-300</t>
  </si>
  <si>
    <t>TDP</t>
  </si>
  <si>
    <t>taped out June 2025, next version taping out in September?</t>
  </si>
  <si>
    <t>limited 2026</t>
  </si>
  <si>
    <t>MI450 - upcoming AMD chip, Broadcom chip, OpenAI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</si>
</sst>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  <xf numFmtId="0" fontId="0" fillId="0" borderId="0" xfId="0" applyBorder="1"/>
    <xf numFmtId="0" fontId="0" fillId="0" borderId="7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29167</xdr:colOff>
      <xdr:row>0</xdr:row>
      <xdr:rowOff>43962</xdr:rowOff>
    </xdr:from>
    <xdr:to>
      <xdr:col>27</xdr:col>
      <xdr:colOff>29167</xdr:colOff>
      <xdr:row>154</xdr:row>
      <xdr:rowOff>122790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9132898" y="43962"/>
          <a:ext cx="0" cy="24936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consensus, moved up to 43.34B</text>
  </threadedComment>
  <threadedComment ref="AB24" dT="2025-05-28T13:38:02.17" personId="{C526F2C0-66C0-534F-AADF-50BFCB37FCD4}" id="{0AFD1808-6C0F-4C3F-9836-027F1D0FF106}">
    <text>45.92B consensus 5/28/25</text>
  </threadedComment>
  <threadedComment ref="AC24" dT="2025-05-28T13:39:37.10" personId="{C526F2C0-66C0-534F-AADF-50BFCB37FCD4}" id="{48933EFE-5C5F-49EA-A80E-E765DE830619}">
    <text>51.75B consensus 5/28/25</text>
  </threadedComment>
  <threadedComment ref="AD24" dT="2025-05-28T13:40:30.80" personId="{C526F2C0-66C0-534F-AADF-50BFCB37FCD4}" id="{BDF99649-FFA5-4806-8F0A-EDE5EB314212}">
    <text>57.23B consensus 5/28/25</text>
  </threadedComment>
  <threadedComment ref="BH24" dT="2025-02-26T16:49:05.11" personId="{C526F2C0-66C0-534F-AADF-50BFCB37FCD4}" id="{4E056475-A7E3-43D8-B802-93813DACE25F}">
    <text>196490 consensus</text>
  </threadedComment>
  <threadedComment ref="BI24" dT="2025-05-28T14:08:43.60" personId="{C526F2C0-66C0-534F-AADF-50BFCB37FCD4}" id="{472BDDD3-4E0A-4C08-8760-ABFC4732C8A2}">
    <text>247.91B consensus 5/28/25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BA144" dT="2025-04-26T15:27:26.33" personId="{C526F2C0-66C0-534F-AADF-50BFCB37FCD4}" id="{FB8A1EF9-0129-43D9-BD4D-E70349E6A7E0}">
    <text>2368m Other APAC, 914m EU, 767m Other</text>
  </threadedComment>
  <threadedComment ref="BB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9"/>
  <sheetViews>
    <sheetView tabSelected="1" zoomScale="160" zoomScaleNormal="160" workbookViewId="0">
      <selection activeCell="F30" sqref="F30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36" t="s">
        <v>247</v>
      </c>
      <c r="E2" s="26"/>
      <c r="F2" s="26"/>
      <c r="G2" s="26"/>
      <c r="H2" s="27"/>
      <c r="J2" t="s">
        <v>112</v>
      </c>
      <c r="K2" s="15">
        <v>158</v>
      </c>
    </row>
    <row r="3" spans="2:12" x14ac:dyDescent="0.25">
      <c r="B3" s="19" t="s">
        <v>245</v>
      </c>
      <c r="C3" s="35" t="s">
        <v>130</v>
      </c>
      <c r="D3" s="35">
        <v>2000</v>
      </c>
      <c r="E3" s="35"/>
      <c r="F3" s="35"/>
      <c r="G3" s="35"/>
      <c r="H3" s="20"/>
      <c r="J3" t="s">
        <v>13</v>
      </c>
      <c r="K3" s="2">
        <v>24611</v>
      </c>
      <c r="L3" s="3" t="s">
        <v>49</v>
      </c>
    </row>
    <row r="4" spans="2:12" x14ac:dyDescent="0.25">
      <c r="B4" s="19" t="s">
        <v>244</v>
      </c>
      <c r="C4" s="35" t="s">
        <v>130</v>
      </c>
      <c r="D4" s="35">
        <v>700</v>
      </c>
      <c r="E4" s="35"/>
      <c r="F4" s="35"/>
      <c r="G4" s="35"/>
      <c r="H4" s="20"/>
      <c r="J4" t="s">
        <v>113</v>
      </c>
      <c r="K4" s="2">
        <f>+K2*K3</f>
        <v>3888538</v>
      </c>
    </row>
    <row r="5" spans="2:12" x14ac:dyDescent="0.25">
      <c r="B5" s="19" t="s">
        <v>119</v>
      </c>
      <c r="C5" t="s">
        <v>130</v>
      </c>
      <c r="D5">
        <v>700</v>
      </c>
      <c r="H5" s="20"/>
      <c r="J5" t="s">
        <v>38</v>
      </c>
      <c r="K5" s="2">
        <v>53691</v>
      </c>
      <c r="L5" s="3" t="s">
        <v>49</v>
      </c>
    </row>
    <row r="6" spans="2:12" x14ac:dyDescent="0.25">
      <c r="B6" s="19" t="s">
        <v>120</v>
      </c>
      <c r="C6" t="s">
        <v>130</v>
      </c>
      <c r="D6">
        <v>400</v>
      </c>
      <c r="H6" s="20"/>
      <c r="J6" t="s">
        <v>34</v>
      </c>
      <c r="K6" s="2">
        <v>8464</v>
      </c>
      <c r="L6" s="3" t="s">
        <v>49</v>
      </c>
    </row>
    <row r="7" spans="2:12" x14ac:dyDescent="0.25">
      <c r="B7" s="19" t="s">
        <v>121</v>
      </c>
      <c r="C7" t="s">
        <v>130</v>
      </c>
      <c r="D7" s="3" t="s">
        <v>246</v>
      </c>
      <c r="H7" s="20"/>
      <c r="J7" t="s">
        <v>114</v>
      </c>
      <c r="K7" s="2">
        <f>+K4-K5+K6</f>
        <v>3843311</v>
      </c>
    </row>
    <row r="8" spans="2:12" x14ac:dyDescent="0.25">
      <c r="B8" s="21" t="s">
        <v>122</v>
      </c>
      <c r="C8" t="s">
        <v>129</v>
      </c>
      <c r="D8">
        <v>450</v>
      </c>
      <c r="H8" s="20"/>
      <c r="K8" s="15"/>
    </row>
    <row r="9" spans="2:12" x14ac:dyDescent="0.25">
      <c r="B9" s="21">
        <v>5090</v>
      </c>
      <c r="C9" t="s">
        <v>129</v>
      </c>
      <c r="D9">
        <v>575</v>
      </c>
      <c r="H9" s="20"/>
      <c r="J9" t="s">
        <v>175</v>
      </c>
      <c r="K9" s="28">
        <v>1993</v>
      </c>
    </row>
    <row r="10" spans="2:12" x14ac:dyDescent="0.25">
      <c r="B10" s="19" t="s">
        <v>123</v>
      </c>
      <c r="C10" t="s">
        <v>124</v>
      </c>
      <c r="H10" s="20"/>
    </row>
    <row r="11" spans="2:12" x14ac:dyDescent="0.25">
      <c r="B11" s="19" t="s">
        <v>125</v>
      </c>
      <c r="C11" t="s">
        <v>128</v>
      </c>
      <c r="H11" s="20"/>
    </row>
    <row r="12" spans="2:12" x14ac:dyDescent="0.25">
      <c r="B12" s="19" t="s">
        <v>126</v>
      </c>
      <c r="C12" t="s">
        <v>127</v>
      </c>
      <c r="H12" s="20"/>
    </row>
    <row r="13" spans="2:12" x14ac:dyDescent="0.25">
      <c r="B13" s="19" t="s">
        <v>134</v>
      </c>
      <c r="C13" t="s">
        <v>135</v>
      </c>
      <c r="H13" s="20"/>
    </row>
    <row r="14" spans="2:12" x14ac:dyDescent="0.25">
      <c r="B14" s="19" t="s">
        <v>136</v>
      </c>
      <c r="C14" t="s">
        <v>137</v>
      </c>
      <c r="D14" t="s">
        <v>168</v>
      </c>
      <c r="H14" s="20"/>
    </row>
    <row r="15" spans="2:12" x14ac:dyDescent="0.25">
      <c r="B15" s="19" t="s">
        <v>138</v>
      </c>
      <c r="H15" s="20"/>
      <c r="K15" t="s">
        <v>225</v>
      </c>
    </row>
    <row r="16" spans="2:12" x14ac:dyDescent="0.25">
      <c r="B16" s="19" t="s">
        <v>139</v>
      </c>
      <c r="H16" s="20"/>
      <c r="K16" t="s">
        <v>227</v>
      </c>
    </row>
    <row r="17" spans="2:11" x14ac:dyDescent="0.25">
      <c r="B17" s="22" t="s">
        <v>140</v>
      </c>
      <c r="C17" s="23"/>
      <c r="D17" s="23"/>
      <c r="E17" s="23"/>
      <c r="F17" s="23"/>
      <c r="G17" s="23"/>
      <c r="H17" s="24"/>
      <c r="K17" t="s">
        <v>226</v>
      </c>
    </row>
    <row r="18" spans="2:11" x14ac:dyDescent="0.25">
      <c r="K18" t="s">
        <v>118</v>
      </c>
    </row>
    <row r="19" spans="2:11" x14ac:dyDescent="0.25">
      <c r="B19" t="s">
        <v>141</v>
      </c>
      <c r="C19" t="s">
        <v>142</v>
      </c>
      <c r="K19" t="s">
        <v>116</v>
      </c>
    </row>
    <row r="20" spans="2:11" x14ac:dyDescent="0.25">
      <c r="B20" t="s">
        <v>143</v>
      </c>
      <c r="C20" t="s">
        <v>144</v>
      </c>
      <c r="K20" t="s">
        <v>117</v>
      </c>
    </row>
    <row r="21" spans="2:11" x14ac:dyDescent="0.25">
      <c r="B21" t="s">
        <v>145</v>
      </c>
      <c r="C21" t="s">
        <v>146</v>
      </c>
      <c r="K21" t="s">
        <v>115</v>
      </c>
    </row>
    <row r="22" spans="2:11" x14ac:dyDescent="0.25">
      <c r="K22" t="s">
        <v>132</v>
      </c>
    </row>
    <row r="23" spans="2:11" x14ac:dyDescent="0.25">
      <c r="K23" t="s">
        <v>133</v>
      </c>
    </row>
    <row r="24" spans="2:11" x14ac:dyDescent="0.25">
      <c r="B24" t="s">
        <v>159</v>
      </c>
    </row>
    <row r="25" spans="2:11" x14ac:dyDescent="0.25">
      <c r="B25" t="s">
        <v>169</v>
      </c>
    </row>
    <row r="29" spans="2:11" x14ac:dyDescent="0.25">
      <c r="B29" t="s">
        <v>243</v>
      </c>
      <c r="C29" t="s">
        <v>248</v>
      </c>
      <c r="F29" t="s">
        <v>250</v>
      </c>
      <c r="I29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4"/>
  <sheetViews>
    <sheetView zoomScale="115" zoomScaleNormal="115" workbookViewId="0">
      <pane xSplit="2" ySplit="3" topLeftCell="S34" activePane="bottomRight" state="frozen"/>
      <selection pane="topRight" activeCell="C1" sqref="C1"/>
      <selection pane="bottomLeft" activeCell="A4" sqref="A4"/>
      <selection pane="bottomRight" activeCell="AA36" sqref="AA36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+W2+364</f>
        <v>45774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>
        <v>39589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>
        <v>4473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AA17" s="2">
        <f>+W17*1.1</f>
        <v>85.800000000000011</v>
      </c>
      <c r="AB17" s="2">
        <f t="shared" ref="AB17:AD19" si="3">+X17*1.1</f>
        <v>96.800000000000011</v>
      </c>
      <c r="AC17" s="2">
        <f t="shared" si="3"/>
        <v>106.7</v>
      </c>
      <c r="AD17" s="2">
        <f t="shared" si="3"/>
        <v>138.60000000000002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4">SUM(S17:V17)</f>
        <v>306</v>
      </c>
      <c r="BG17" s="2">
        <f t="shared" ref="BG17:BG21" si="5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A18" s="2">
        <f>+W18*1.1</f>
        <v>469.70000000000005</v>
      </c>
      <c r="AB18" s="2">
        <f t="shared" si="3"/>
        <v>499.40000000000003</v>
      </c>
      <c r="AC18" s="2">
        <f t="shared" si="3"/>
        <v>534.6</v>
      </c>
      <c r="AD18" s="2">
        <f t="shared" si="3"/>
        <v>562.1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4"/>
        <v>1553</v>
      </c>
      <c r="BG18" s="2">
        <f t="shared" si="5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A19" s="2">
        <f>+W19*1.1</f>
        <v>361.90000000000003</v>
      </c>
      <c r="AB19" s="2">
        <f t="shared" si="3"/>
        <v>380.6</v>
      </c>
      <c r="AC19" s="2">
        <f t="shared" si="3"/>
        <v>493.90000000000003</v>
      </c>
      <c r="AD19" s="2">
        <f t="shared" si="3"/>
        <v>627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4"/>
        <v>1091</v>
      </c>
      <c r="BG19" s="2">
        <f t="shared" si="5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A20" s="2">
        <v>4957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4"/>
        <v>8575</v>
      </c>
      <c r="BG20" s="2">
        <f t="shared" si="5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A21" s="2">
        <v>34155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4"/>
        <v>38950</v>
      </c>
      <c r="BG21" s="2">
        <f t="shared" si="5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AA22" s="2">
        <f>+W22*1.8</f>
        <v>40613.4</v>
      </c>
      <c r="AB22" s="2">
        <f>+X22*1.9</f>
        <v>49916.799999999996</v>
      </c>
      <c r="AC22" s="2">
        <f>+Y22*1.4</f>
        <v>43079.399999999994</v>
      </c>
      <c r="AD22" s="2">
        <f>+Z22*1.5</f>
        <v>53370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A23" s="2">
        <f>+W23*1.2</f>
        <v>3176.4</v>
      </c>
      <c r="AB23" s="2">
        <f t="shared" ref="AB23:AD23" si="6">+X23*1.2</f>
        <v>3456</v>
      </c>
      <c r="AC23" s="2">
        <f t="shared" si="6"/>
        <v>3934.7999999999997</v>
      </c>
      <c r="AD23" s="2">
        <f t="shared" si="6"/>
        <v>3052.7999999999997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44318.77</v>
      </c>
      <c r="AB24" s="9">
        <v>53000</v>
      </c>
      <c r="AC24" s="9">
        <f>+AC123</f>
        <v>49680.475000000006</v>
      </c>
      <c r="AD24" s="9">
        <f>+AD123</f>
        <v>59814.570000000007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7">+BA23+BA22+BA19+BA18+BA17</f>
        <v>11716</v>
      </c>
      <c r="BB24" s="8">
        <f t="shared" si="7"/>
        <v>10918</v>
      </c>
      <c r="BC24" s="8">
        <f t="shared" si="7"/>
        <v>16675</v>
      </c>
      <c r="BD24" s="8">
        <f t="shared" si="7"/>
        <v>26913</v>
      </c>
      <c r="BE24" s="8">
        <f t="shared" si="7"/>
        <v>26977</v>
      </c>
      <c r="BF24" s="8">
        <f t="shared" si="7"/>
        <v>60922</v>
      </c>
      <c r="BG24" s="8">
        <f t="shared" si="7"/>
        <v>130497</v>
      </c>
      <c r="BH24" s="8">
        <f>SUM(AA24:AD24)</f>
        <v>206813.815</v>
      </c>
      <c r="BI24" s="8">
        <f>+BH24*1.5</f>
        <v>310220.72250000003</v>
      </c>
      <c r="BJ24" s="8">
        <f>+BI24*1.4</f>
        <v>434309.01150000002</v>
      </c>
      <c r="BK24" s="8">
        <f>+BJ24*1.4</f>
        <v>608032.61609999998</v>
      </c>
      <c r="BL24" s="8">
        <f>+BK24*1.3</f>
        <v>790442.40093</v>
      </c>
      <c r="BM24" s="8">
        <f>+BL24*1.3</f>
        <v>1027575.121209</v>
      </c>
      <c r="BN24" s="8">
        <f>+BM24*1.3</f>
        <v>1335847.6575716999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8">+AA24-AA26</f>
        <v>10636.504800000002</v>
      </c>
      <c r="AB25" s="2">
        <f t="shared" si="8"/>
        <v>12720</v>
      </c>
      <c r="AC25" s="2">
        <f t="shared" si="8"/>
        <v>11923.313999999998</v>
      </c>
      <c r="AD25" s="2">
        <f>+AD24-AD26</f>
        <v>14355.496800000001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49635.315600000002</v>
      </c>
      <c r="BI25" s="2">
        <f t="shared" ref="BI25:BK25" si="9">+BI24-BI26</f>
        <v>68248.558950000006</v>
      </c>
      <c r="BJ25" s="2">
        <f t="shared" si="9"/>
        <v>95547.982529999979</v>
      </c>
      <c r="BK25" s="2">
        <f t="shared" si="9"/>
        <v>133767.17554199998</v>
      </c>
      <c r="BL25" s="2">
        <f t="shared" ref="BL25" si="10">+BL24-BL26</f>
        <v>173897.32820460002</v>
      </c>
      <c r="BM25" s="2">
        <f t="shared" ref="BM25" si="11">+BM24-BM26</f>
        <v>226066.52666598</v>
      </c>
    </row>
    <row r="26" spans="2:66" s="2" customFormat="1" x14ac:dyDescent="0.25">
      <c r="B26" s="2" t="s">
        <v>5</v>
      </c>
      <c r="C26" s="5">
        <f t="shared" ref="C26:F26" si="12">+C24-C25</f>
        <v>1296</v>
      </c>
      <c r="D26" s="5">
        <f t="shared" si="12"/>
        <v>1541</v>
      </c>
      <c r="E26" s="5">
        <f t="shared" si="12"/>
        <v>1916</v>
      </c>
      <c r="F26" s="5">
        <f t="shared" si="12"/>
        <v>2015</v>
      </c>
      <c r="G26" s="5">
        <f t="shared" ref="G26:S26" si="13">+G24-G25</f>
        <v>2004</v>
      </c>
      <c r="H26" s="5">
        <f t="shared" si="13"/>
        <v>2275</v>
      </c>
      <c r="I26" s="5">
        <f t="shared" si="13"/>
        <v>2960</v>
      </c>
      <c r="J26" s="5">
        <f t="shared" si="13"/>
        <v>3157</v>
      </c>
      <c r="K26" s="5">
        <f t="shared" si="13"/>
        <v>3629</v>
      </c>
      <c r="L26" s="5">
        <f t="shared" si="13"/>
        <v>4215</v>
      </c>
      <c r="M26" s="5">
        <f t="shared" si="13"/>
        <v>4631</v>
      </c>
      <c r="N26" s="5">
        <f t="shared" si="13"/>
        <v>4999</v>
      </c>
      <c r="O26" s="5">
        <f t="shared" si="13"/>
        <v>5431</v>
      </c>
      <c r="P26" s="5">
        <f t="shared" si="13"/>
        <v>2915</v>
      </c>
      <c r="Q26" s="5">
        <f t="shared" si="13"/>
        <v>3177</v>
      </c>
      <c r="R26" s="5">
        <f t="shared" si="13"/>
        <v>3833</v>
      </c>
      <c r="S26" s="5">
        <f t="shared" si="13"/>
        <v>4648</v>
      </c>
      <c r="T26" s="2">
        <f>T24-T25</f>
        <v>9462</v>
      </c>
      <c r="U26" s="2">
        <f t="shared" ref="U26:Z26" si="14">+U24-U25</f>
        <v>13400</v>
      </c>
      <c r="V26" s="2">
        <f t="shared" si="14"/>
        <v>16791</v>
      </c>
      <c r="W26" s="2">
        <f t="shared" si="14"/>
        <v>20406</v>
      </c>
      <c r="X26" s="2">
        <f t="shared" si="14"/>
        <v>22574</v>
      </c>
      <c r="Y26" s="2">
        <f t="shared" si="14"/>
        <v>26156</v>
      </c>
      <c r="Z26" s="2">
        <f t="shared" si="14"/>
        <v>28723</v>
      </c>
      <c r="AA26" s="2">
        <f>+AA24*0.76</f>
        <v>33682.265199999994</v>
      </c>
      <c r="AB26" s="2">
        <f>+AB24*0.76</f>
        <v>40280</v>
      </c>
      <c r="AC26" s="2">
        <f>+AC24*0.76</f>
        <v>37757.161000000007</v>
      </c>
      <c r="AD26" s="2">
        <f>+AD24*0.76</f>
        <v>45459.073200000006</v>
      </c>
      <c r="AH26" s="2">
        <f t="shared" ref="AH26:AI26" si="15">+AH24-AH25</f>
        <v>232.66200000000001</v>
      </c>
      <c r="AI26" s="2">
        <f t="shared" si="15"/>
        <v>462.38499999999999</v>
      </c>
      <c r="AJ26" s="2">
        <f t="shared" ref="AJ26:AM26" si="16">+AJ24-AJ25</f>
        <v>850.23299999999995</v>
      </c>
      <c r="AK26" s="2">
        <f t="shared" si="16"/>
        <v>582.17599999999993</v>
      </c>
      <c r="AL26" s="2">
        <f t="shared" si="16"/>
        <v>528.87799999999993</v>
      </c>
      <c r="AM26" s="2">
        <f t="shared" si="16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7">+AS24-AS25</f>
        <v>1409.0900000000001</v>
      </c>
      <c r="AT26" s="2">
        <f t="shared" si="17"/>
        <v>2056.5169999999998</v>
      </c>
      <c r="AU26" s="2">
        <f t="shared" si="17"/>
        <v>2226.3429999999998</v>
      </c>
      <c r="AV26" s="2">
        <f t="shared" si="17"/>
        <v>2268</v>
      </c>
      <c r="AW26" s="2">
        <f t="shared" si="17"/>
        <v>2599</v>
      </c>
      <c r="AX26" s="2">
        <f t="shared" si="17"/>
        <v>2811</v>
      </c>
      <c r="AY26" s="2">
        <f t="shared" si="17"/>
        <v>4063</v>
      </c>
      <c r="AZ26" s="2">
        <f t="shared" si="17"/>
        <v>5822</v>
      </c>
      <c r="BA26" s="2">
        <f t="shared" si="17"/>
        <v>7171</v>
      </c>
      <c r="BB26" s="2">
        <f t="shared" si="17"/>
        <v>6768</v>
      </c>
      <c r="BC26" s="2">
        <f t="shared" si="17"/>
        <v>10396</v>
      </c>
      <c r="BD26" s="2">
        <f t="shared" si="17"/>
        <v>17473</v>
      </c>
      <c r="BE26" s="2">
        <f t="shared" si="17"/>
        <v>15359</v>
      </c>
      <c r="BF26" s="2">
        <f t="shared" si="17"/>
        <v>44301</v>
      </c>
      <c r="BG26" s="2">
        <f>SUM(W26:Z26)</f>
        <v>97859</v>
      </c>
      <c r="BH26" s="2">
        <f>SUM(AA26:AD26)</f>
        <v>157178.4994</v>
      </c>
      <c r="BI26" s="2">
        <f>+BI24*0.78</f>
        <v>241972.16355000003</v>
      </c>
      <c r="BJ26" s="2">
        <f>+BJ24*0.78</f>
        <v>338761.02897000004</v>
      </c>
      <c r="BK26" s="2">
        <f>+BK24*0.78</f>
        <v>474265.440558</v>
      </c>
      <c r="BL26" s="2">
        <f t="shared" ref="BL26:BM26" si="18">+BL24*0.78</f>
        <v>616545.07272539998</v>
      </c>
      <c r="BM26" s="2">
        <f t="shared" si="18"/>
        <v>801508.59454302001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9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20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21">+W27*1.2</f>
        <v>3264</v>
      </c>
      <c r="AB27" s="2">
        <f t="shared" ref="AB27" si="22">+X27*1.2</f>
        <v>3708</v>
      </c>
      <c r="AC27" s="2">
        <f t="shared" ref="AC27" si="23">+Y27*1.2</f>
        <v>4068</v>
      </c>
      <c r="AD27" s="2">
        <f t="shared" ref="AD27" si="24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5">+BH27*1.2</f>
        <v>18596.16</v>
      </c>
      <c r="BJ27" s="2">
        <f t="shared" si="25"/>
        <v>22315.392</v>
      </c>
      <c r="BK27" s="2">
        <f t="shared" si="25"/>
        <v>26778.470399999998</v>
      </c>
      <c r="BL27" s="2">
        <f t="shared" ref="BL27:BM27" si="26">+BK27*1.2</f>
        <v>32134.164479999996</v>
      </c>
      <c r="BM27" s="2">
        <f t="shared" si="26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19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20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7">+BH28*1.2</f>
        <v>5027.04</v>
      </c>
      <c r="BJ28" s="2">
        <f t="shared" si="27"/>
        <v>6032.4479999999994</v>
      </c>
      <c r="BK28" s="2">
        <f t="shared" si="27"/>
        <v>7238.9375999999993</v>
      </c>
      <c r="BL28" s="2">
        <f t="shared" ref="BL28:BM28" si="28">+BK28*1.2</f>
        <v>8686.7251199999992</v>
      </c>
      <c r="BM28" s="2">
        <f t="shared" si="28"/>
        <v>10424.070143999999</v>
      </c>
    </row>
    <row r="29" spans="2:66" s="2" customFormat="1" x14ac:dyDescent="0.25">
      <c r="B29" s="2" t="s">
        <v>3</v>
      </c>
      <c r="C29" s="5">
        <f t="shared" ref="C29:F29" si="29">+C27+C28</f>
        <v>938</v>
      </c>
      <c r="D29" s="5">
        <f t="shared" si="29"/>
        <v>970</v>
      </c>
      <c r="E29" s="5">
        <f t="shared" si="29"/>
        <v>989</v>
      </c>
      <c r="F29" s="5">
        <f t="shared" si="29"/>
        <v>1025</v>
      </c>
      <c r="G29" s="5">
        <f t="shared" ref="G29:I29" si="30">+G27+G28</f>
        <v>1028</v>
      </c>
      <c r="H29" s="5">
        <f t="shared" ref="H29" si="31">+H27+H28</f>
        <v>1624</v>
      </c>
      <c r="I29" s="5">
        <f t="shared" si="30"/>
        <v>1562</v>
      </c>
      <c r="J29" s="5">
        <f t="shared" ref="J29" si="32">+J27+J28</f>
        <v>1650</v>
      </c>
      <c r="K29" s="5">
        <f t="shared" ref="K29:M29" si="33">+K27+K28</f>
        <v>1673</v>
      </c>
      <c r="L29" s="5">
        <f t="shared" si="33"/>
        <v>1771</v>
      </c>
      <c r="M29" s="5">
        <f t="shared" si="33"/>
        <v>1960</v>
      </c>
      <c r="N29" s="5">
        <f t="shared" ref="N29" si="34">+N27+N28</f>
        <v>2029</v>
      </c>
      <c r="O29" s="5">
        <f>+O27+O28</f>
        <v>2210</v>
      </c>
      <c r="P29" s="5">
        <f t="shared" ref="P29" si="35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6">+U27+U28</f>
        <v>2983</v>
      </c>
      <c r="V29" s="5">
        <f t="shared" si="36"/>
        <v>3176</v>
      </c>
      <c r="W29" s="5">
        <f t="shared" si="36"/>
        <v>3497</v>
      </c>
      <c r="X29" s="5">
        <f t="shared" ref="X29:Z29" si="37">+X27+X28</f>
        <v>3932</v>
      </c>
      <c r="Y29" s="5">
        <f t="shared" si="37"/>
        <v>4287</v>
      </c>
      <c r="Z29" s="5">
        <f t="shared" si="37"/>
        <v>4689</v>
      </c>
      <c r="AA29" s="5">
        <f t="shared" ref="AA29:AD29" si="38">+AA27+AA28</f>
        <v>4196.3999999999996</v>
      </c>
      <c r="AB29" s="5">
        <f t="shared" si="38"/>
        <v>4718.3999999999996</v>
      </c>
      <c r="AC29" s="5">
        <f t="shared" si="38"/>
        <v>5144.3999999999996</v>
      </c>
      <c r="AD29" s="5">
        <f t="shared" si="38"/>
        <v>5626.8</v>
      </c>
      <c r="AE29" s="5"/>
      <c r="AF29" s="5"/>
      <c r="AG29" s="5"/>
      <c r="AH29" s="2">
        <f t="shared" ref="AH29" si="39">+AH27+AH28</f>
        <v>0</v>
      </c>
      <c r="AI29" s="2">
        <f t="shared" ref="AI29:AJ29" si="40">+AI27+AI28</f>
        <v>0</v>
      </c>
      <c r="AJ29" s="2">
        <f t="shared" si="40"/>
        <v>0</v>
      </c>
      <c r="AK29" s="2">
        <f t="shared" ref="AK29:AL29" si="41">+AK27+AK28</f>
        <v>376.358</v>
      </c>
      <c r="AL29" s="2">
        <f t="shared" si="41"/>
        <v>435.221</v>
      </c>
      <c r="AM29" s="2">
        <f t="shared" ref="AM29:AR29" si="42">+AM27+AM28</f>
        <v>535.89300000000003</v>
      </c>
      <c r="AN29" s="2">
        <f t="shared" si="42"/>
        <v>559.21100000000001</v>
      </c>
      <c r="AO29" s="2">
        <f t="shared" si="42"/>
        <v>846.99699999999996</v>
      </c>
      <c r="AP29" s="2">
        <f t="shared" si="42"/>
        <v>1032.934</v>
      </c>
      <c r="AQ29" s="2">
        <f t="shared" si="42"/>
        <v>1218.1010000000001</v>
      </c>
      <c r="AR29" s="2">
        <f t="shared" si="42"/>
        <v>1275.8679999999999</v>
      </c>
      <c r="AS29" s="2">
        <f t="shared" ref="AS29:BE29" si="43">+AS27+AS28</f>
        <v>1210.3430000000001</v>
      </c>
      <c r="AT29" s="2">
        <f t="shared" si="43"/>
        <v>1408.2180000000001</v>
      </c>
      <c r="AU29" s="2">
        <f t="shared" si="43"/>
        <v>1578.1039999999998</v>
      </c>
      <c r="AV29" s="2">
        <f t="shared" si="43"/>
        <v>1772</v>
      </c>
      <c r="AW29" s="2">
        <f t="shared" si="43"/>
        <v>1840</v>
      </c>
      <c r="AX29" s="2">
        <f t="shared" si="43"/>
        <v>1933</v>
      </c>
      <c r="AY29" s="2">
        <f t="shared" si="43"/>
        <v>2126</v>
      </c>
      <c r="AZ29" s="2">
        <f t="shared" si="43"/>
        <v>2612</v>
      </c>
      <c r="BA29" s="2">
        <f t="shared" si="43"/>
        <v>3367</v>
      </c>
      <c r="BB29" s="2">
        <f t="shared" si="43"/>
        <v>3922</v>
      </c>
      <c r="BC29" s="2">
        <f t="shared" si="43"/>
        <v>5864</v>
      </c>
      <c r="BD29" s="2">
        <f t="shared" si="43"/>
        <v>7433</v>
      </c>
      <c r="BE29" s="2">
        <f t="shared" si="43"/>
        <v>9779</v>
      </c>
      <c r="BF29" s="2">
        <f>SUM(S29:V29)</f>
        <v>11329</v>
      </c>
      <c r="BG29" s="2">
        <f>+BG27+BG28</f>
        <v>16405</v>
      </c>
      <c r="BH29" s="2">
        <f t="shared" ref="BH29:BK29" si="44">+BH27+BH28</f>
        <v>19686</v>
      </c>
      <c r="BI29" s="2">
        <f t="shared" si="44"/>
        <v>23623.200000000001</v>
      </c>
      <c r="BJ29" s="2">
        <f t="shared" si="44"/>
        <v>28347.84</v>
      </c>
      <c r="BK29" s="2">
        <f t="shared" si="44"/>
        <v>34017.407999999996</v>
      </c>
      <c r="BL29" s="2">
        <f t="shared" ref="BL29" si="45">+BL27+BL28</f>
        <v>40820.889599999995</v>
      </c>
      <c r="BM29" s="2">
        <f t="shared" ref="BM29" si="46">+BM27+BM28</f>
        <v>48985.06751999999</v>
      </c>
    </row>
    <row r="30" spans="2:66" s="2" customFormat="1" x14ac:dyDescent="0.25">
      <c r="B30" s="2" t="s">
        <v>2</v>
      </c>
      <c r="C30" s="5">
        <f t="shared" ref="C30:F30" si="47">+C26-C29</f>
        <v>358</v>
      </c>
      <c r="D30" s="5">
        <f t="shared" si="47"/>
        <v>571</v>
      </c>
      <c r="E30" s="5">
        <f t="shared" si="47"/>
        <v>927</v>
      </c>
      <c r="F30" s="5">
        <f t="shared" si="47"/>
        <v>990</v>
      </c>
      <c r="G30" s="5">
        <f t="shared" ref="G30:I30" si="48">+G26-G29</f>
        <v>976</v>
      </c>
      <c r="H30" s="5">
        <f t="shared" ref="H30" si="49">+H26-H29</f>
        <v>651</v>
      </c>
      <c r="I30" s="5">
        <f t="shared" si="48"/>
        <v>1398</v>
      </c>
      <c r="J30" s="5">
        <f t="shared" ref="J30" si="50">+J26-J29</f>
        <v>1507</v>
      </c>
      <c r="K30" s="5">
        <f t="shared" ref="K30:M30" si="51">+K26-K29</f>
        <v>1956</v>
      </c>
      <c r="L30" s="5">
        <f t="shared" si="51"/>
        <v>2444</v>
      </c>
      <c r="M30" s="5">
        <f t="shared" si="51"/>
        <v>2671</v>
      </c>
      <c r="N30" s="5">
        <f t="shared" ref="N30" si="52">+N26-N29</f>
        <v>2970</v>
      </c>
      <c r="O30" s="5">
        <f>+O26-O29</f>
        <v>3221</v>
      </c>
      <c r="P30" s="5">
        <f t="shared" ref="P30" si="53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4">+U26-U29</f>
        <v>10417</v>
      </c>
      <c r="V30" s="5">
        <f t="shared" si="54"/>
        <v>13615</v>
      </c>
      <c r="W30" s="5">
        <f t="shared" si="54"/>
        <v>16909</v>
      </c>
      <c r="X30" s="5">
        <f t="shared" ref="X30:Z30" si="55">+X26-X29</f>
        <v>18642</v>
      </c>
      <c r="Y30" s="5">
        <f t="shared" si="55"/>
        <v>21869</v>
      </c>
      <c r="Z30" s="5">
        <f t="shared" si="55"/>
        <v>24034</v>
      </c>
      <c r="AA30" s="5">
        <f t="shared" ref="AA30:AD30" si="56">+AA26-AA29</f>
        <v>29485.865199999993</v>
      </c>
      <c r="AB30" s="5">
        <f t="shared" si="56"/>
        <v>35561.599999999999</v>
      </c>
      <c r="AC30" s="5">
        <f t="shared" si="56"/>
        <v>32612.761000000006</v>
      </c>
      <c r="AD30" s="5">
        <f t="shared" si="56"/>
        <v>39832.273200000003</v>
      </c>
      <c r="AE30" s="5"/>
      <c r="AF30" s="5"/>
      <c r="AG30" s="5"/>
      <c r="AH30" s="2">
        <f t="shared" ref="AH30" si="57">+AH26-AH29</f>
        <v>232.66200000000001</v>
      </c>
      <c r="AI30" s="2">
        <f t="shared" ref="AI30:AJ30" si="58">+AI26-AI29</f>
        <v>462.38499999999999</v>
      </c>
      <c r="AJ30" s="2">
        <f t="shared" si="58"/>
        <v>850.23299999999995</v>
      </c>
      <c r="AK30" s="2">
        <f t="shared" ref="AK30:AL30" si="59">+AK26-AK29</f>
        <v>205.81799999999993</v>
      </c>
      <c r="AL30" s="2">
        <f t="shared" si="59"/>
        <v>93.656999999999925</v>
      </c>
      <c r="AM30" s="2">
        <f t="shared" ref="AM30:AR30" si="60">+AM26-AM29</f>
        <v>113.59299999999985</v>
      </c>
      <c r="AN30" s="2">
        <f t="shared" si="60"/>
        <v>350.82199999999989</v>
      </c>
      <c r="AO30" s="2">
        <f t="shared" si="60"/>
        <v>453.45200000000034</v>
      </c>
      <c r="AP30" s="2">
        <f t="shared" si="60"/>
        <v>836.34599999999978</v>
      </c>
      <c r="AQ30" s="2">
        <f t="shared" si="60"/>
        <v>-43.832000000000335</v>
      </c>
      <c r="AR30" s="2">
        <f t="shared" si="60"/>
        <v>-98.944999999999709</v>
      </c>
      <c r="AS30" s="2">
        <f t="shared" ref="AS30:BG30" si="61">+AS26-AS29</f>
        <v>198.74700000000007</v>
      </c>
      <c r="AT30" s="2">
        <f t="shared" si="61"/>
        <v>648.29899999999975</v>
      </c>
      <c r="AU30" s="2">
        <f t="shared" si="61"/>
        <v>648.23900000000003</v>
      </c>
      <c r="AV30" s="2">
        <f t="shared" si="61"/>
        <v>496</v>
      </c>
      <c r="AW30" s="2">
        <f t="shared" si="61"/>
        <v>759</v>
      </c>
      <c r="AX30" s="2">
        <f t="shared" si="61"/>
        <v>878</v>
      </c>
      <c r="AY30" s="2">
        <f t="shared" si="61"/>
        <v>1937</v>
      </c>
      <c r="AZ30" s="2">
        <f t="shared" si="61"/>
        <v>3210</v>
      </c>
      <c r="BA30" s="2">
        <f t="shared" si="61"/>
        <v>3804</v>
      </c>
      <c r="BB30" s="2">
        <f t="shared" si="61"/>
        <v>2846</v>
      </c>
      <c r="BC30" s="2">
        <f t="shared" si="61"/>
        <v>4532</v>
      </c>
      <c r="BD30" s="2">
        <f t="shared" si="61"/>
        <v>10040</v>
      </c>
      <c r="BE30" s="2">
        <f t="shared" si="61"/>
        <v>5580</v>
      </c>
      <c r="BF30" s="2">
        <f t="shared" si="61"/>
        <v>32972</v>
      </c>
      <c r="BG30" s="2">
        <f t="shared" si="61"/>
        <v>81454</v>
      </c>
      <c r="BH30" s="2">
        <f t="shared" ref="BH30:BK30" si="62">+BH26-BH29</f>
        <v>137492.4994</v>
      </c>
      <c r="BI30" s="2">
        <f t="shared" si="62"/>
        <v>218348.96355000001</v>
      </c>
      <c r="BJ30" s="2">
        <f t="shared" si="62"/>
        <v>310413.18897000002</v>
      </c>
      <c r="BK30" s="2">
        <f t="shared" si="62"/>
        <v>440248.03255800001</v>
      </c>
      <c r="BL30" s="2">
        <f t="shared" ref="BL30" si="63">+BL26-BL29</f>
        <v>575724.18312539998</v>
      </c>
      <c r="BM30" s="2">
        <f t="shared" ref="BM30" si="64">+BM26-BM29</f>
        <v>752523.52702301997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5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6">+BK31*1.1</f>
        <v>6928.1212000000032</v>
      </c>
      <c r="BM31" s="2">
        <f t="shared" si="66"/>
        <v>7620.9333200000037</v>
      </c>
    </row>
    <row r="32" spans="2:66" s="2" customFormat="1" x14ac:dyDescent="0.25">
      <c r="B32" s="2" t="s">
        <v>10</v>
      </c>
      <c r="C32" s="5">
        <f t="shared" ref="C32:F32" si="67">+C30+C31</f>
        <v>389</v>
      </c>
      <c r="D32" s="5">
        <f t="shared" si="67"/>
        <v>606</v>
      </c>
      <c r="E32" s="5">
        <f t="shared" si="67"/>
        <v>959</v>
      </c>
      <c r="F32" s="5">
        <f t="shared" si="67"/>
        <v>1016</v>
      </c>
      <c r="G32" s="5">
        <f t="shared" ref="G32:T32" si="68">+G30+G31</f>
        <v>981</v>
      </c>
      <c r="H32" s="5">
        <f t="shared" si="68"/>
        <v>609</v>
      </c>
      <c r="I32" s="5">
        <f t="shared" si="68"/>
        <v>1348</v>
      </c>
      <c r="J32" s="5">
        <f t="shared" si="68"/>
        <v>1470</v>
      </c>
      <c r="K32" s="5">
        <f t="shared" si="68"/>
        <v>2044</v>
      </c>
      <c r="L32" s="5">
        <f t="shared" si="68"/>
        <v>2394</v>
      </c>
      <c r="M32" s="5">
        <f t="shared" si="68"/>
        <v>2638</v>
      </c>
      <c r="N32" s="5">
        <f t="shared" si="68"/>
        <v>2865</v>
      </c>
      <c r="O32" s="5">
        <f t="shared" si="68"/>
        <v>3158</v>
      </c>
      <c r="P32" s="5">
        <f t="shared" si="68"/>
        <v>475</v>
      </c>
      <c r="Q32" s="5">
        <f t="shared" si="68"/>
        <v>613</v>
      </c>
      <c r="R32" s="5">
        <f t="shared" si="68"/>
        <v>1288</v>
      </c>
      <c r="S32" s="5">
        <f t="shared" si="68"/>
        <v>2209</v>
      </c>
      <c r="T32" s="5">
        <f t="shared" si="68"/>
        <v>6981</v>
      </c>
      <c r="U32" s="5">
        <f t="shared" ref="U32:AD32" si="69">+U30+U31</f>
        <v>10522</v>
      </c>
      <c r="V32" s="5">
        <f t="shared" si="69"/>
        <v>14106</v>
      </c>
      <c r="W32" s="5">
        <f t="shared" si="69"/>
        <v>17279</v>
      </c>
      <c r="X32" s="5">
        <f>+X30+X31</f>
        <v>19214</v>
      </c>
      <c r="Y32" s="5">
        <f t="shared" si="69"/>
        <v>22316</v>
      </c>
      <c r="Z32" s="5">
        <f t="shared" si="69"/>
        <v>25217</v>
      </c>
      <c r="AA32" s="5">
        <f t="shared" si="69"/>
        <v>30668.865199999993</v>
      </c>
      <c r="AB32" s="5">
        <f t="shared" si="69"/>
        <v>36744.6</v>
      </c>
      <c r="AC32" s="5">
        <f t="shared" si="69"/>
        <v>33795.761000000006</v>
      </c>
      <c r="AD32" s="5">
        <f t="shared" si="69"/>
        <v>41015.273200000003</v>
      </c>
      <c r="AE32" s="5"/>
      <c r="AF32" s="5"/>
      <c r="AG32" s="5"/>
      <c r="AH32" s="2">
        <f t="shared" ref="AH32" si="70">+AH30+AH31</f>
        <v>255.90800000000002</v>
      </c>
      <c r="AI32" s="2">
        <f t="shared" ref="AI32:AJ32" si="71">+AI30+AI31</f>
        <v>485.63099999999997</v>
      </c>
      <c r="AJ32" s="2">
        <f t="shared" si="71"/>
        <v>873.47899999999993</v>
      </c>
      <c r="AK32" s="2">
        <f t="shared" ref="AK32:AL32" si="72">+AK30+AK31</f>
        <v>229.06399999999994</v>
      </c>
      <c r="AL32" s="2">
        <f t="shared" si="72"/>
        <v>112.21799999999993</v>
      </c>
      <c r="AM32" s="2">
        <f t="shared" ref="AM32:AR32" si="73">+AM30+AM31</f>
        <v>125.01499999999984</v>
      </c>
      <c r="AN32" s="2">
        <f t="shared" si="73"/>
        <v>371.51999999999987</v>
      </c>
      <c r="AO32" s="2">
        <f t="shared" si="73"/>
        <v>495.27200000000033</v>
      </c>
      <c r="AP32" s="2">
        <f t="shared" si="73"/>
        <v>900.63499999999976</v>
      </c>
      <c r="AQ32" s="2">
        <f t="shared" si="73"/>
        <v>-1.3790000000003317</v>
      </c>
      <c r="AR32" s="2">
        <f t="shared" si="73"/>
        <v>-75.829999999999714</v>
      </c>
      <c r="AS32" s="2">
        <f t="shared" ref="AS32:BG32" si="74">+AS30+AS31</f>
        <v>214.16900000000007</v>
      </c>
      <c r="AT32" s="2">
        <f t="shared" si="74"/>
        <v>663.39599999999973</v>
      </c>
      <c r="AU32" s="2">
        <f t="shared" si="74"/>
        <v>662.03899999999999</v>
      </c>
      <c r="AV32" s="2">
        <f t="shared" si="74"/>
        <v>510</v>
      </c>
      <c r="AW32" s="2">
        <f t="shared" si="74"/>
        <v>773</v>
      </c>
      <c r="AX32" s="2">
        <f t="shared" si="74"/>
        <v>874</v>
      </c>
      <c r="AY32" s="2">
        <f t="shared" si="74"/>
        <v>1908</v>
      </c>
      <c r="AZ32" s="2">
        <f t="shared" si="74"/>
        <v>3196</v>
      </c>
      <c r="BA32" s="2">
        <f t="shared" si="74"/>
        <v>3896</v>
      </c>
      <c r="BB32" s="2">
        <f t="shared" si="74"/>
        <v>2970</v>
      </c>
      <c r="BC32" s="2">
        <f t="shared" si="74"/>
        <v>4409</v>
      </c>
      <c r="BD32" s="2">
        <f t="shared" si="74"/>
        <v>9940</v>
      </c>
      <c r="BE32" s="2">
        <f t="shared" si="74"/>
        <v>5537</v>
      </c>
      <c r="BF32" s="2">
        <f t="shared" si="74"/>
        <v>33818</v>
      </c>
      <c r="BG32" s="2">
        <f t="shared" si="74"/>
        <v>84026</v>
      </c>
      <c r="BH32" s="2">
        <f t="shared" ref="BH32:BK32" si="75">+BH30+BH31</f>
        <v>142224.4994</v>
      </c>
      <c r="BI32" s="2">
        <f t="shared" si="75"/>
        <v>223554.16355000003</v>
      </c>
      <c r="BJ32" s="2">
        <f t="shared" si="75"/>
        <v>316138.90896999999</v>
      </c>
      <c r="BK32" s="2">
        <f t="shared" si="75"/>
        <v>446546.32455800002</v>
      </c>
      <c r="BL32" s="2">
        <f t="shared" ref="BL32" si="76">+BL30+BL31</f>
        <v>582652.30432540004</v>
      </c>
      <c r="BM32" s="2">
        <f t="shared" ref="BM32" si="77">+BM30+BM31</f>
        <v>760144.46034301992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8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4600.3297799999991</v>
      </c>
      <c r="AB33" s="2">
        <f>+AB32*0.15</f>
        <v>5511.69</v>
      </c>
      <c r="AC33" s="2">
        <f>+AC32*0.15</f>
        <v>5069.3641500000003</v>
      </c>
      <c r="AD33" s="2">
        <f>+AD32*0.15</f>
        <v>6152.2909800000007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21333.674910000002</v>
      </c>
      <c r="BI33" s="2">
        <f t="shared" ref="BI33:BK33" si="79">+BI32*0.2</f>
        <v>44710.83271000001</v>
      </c>
      <c r="BJ33" s="2">
        <f t="shared" si="79"/>
        <v>63227.781794000002</v>
      </c>
      <c r="BK33" s="2">
        <f t="shared" si="79"/>
        <v>89309.26491160001</v>
      </c>
      <c r="BL33" s="2">
        <f t="shared" ref="BL33" si="80">+BL32*0.2</f>
        <v>116530.46086508001</v>
      </c>
      <c r="BM33" s="2">
        <f t="shared" ref="BM33" si="81">+BM32*0.2</f>
        <v>152028.89206860398</v>
      </c>
    </row>
    <row r="34" spans="2:161" s="2" customFormat="1" x14ac:dyDescent="0.25">
      <c r="B34" s="2" t="s">
        <v>8</v>
      </c>
      <c r="C34" s="5">
        <f t="shared" ref="C34:F34" si="82">+C32-C33</f>
        <v>394</v>
      </c>
      <c r="D34" s="5">
        <f t="shared" si="82"/>
        <v>552</v>
      </c>
      <c r="E34" s="5">
        <f t="shared" si="82"/>
        <v>899</v>
      </c>
      <c r="F34" s="5">
        <f t="shared" si="82"/>
        <v>951</v>
      </c>
      <c r="G34" s="5">
        <f t="shared" ref="G34:S34" si="83">+G32-G33</f>
        <v>917</v>
      </c>
      <c r="H34" s="5">
        <f t="shared" si="83"/>
        <v>622</v>
      </c>
      <c r="I34" s="5">
        <f t="shared" si="83"/>
        <v>1336</v>
      </c>
      <c r="J34" s="5">
        <f t="shared" si="83"/>
        <v>1457</v>
      </c>
      <c r="K34" s="5">
        <f t="shared" si="83"/>
        <v>1912</v>
      </c>
      <c r="L34" s="5">
        <f t="shared" si="83"/>
        <v>2374</v>
      </c>
      <c r="M34" s="5">
        <f t="shared" si="83"/>
        <v>2464</v>
      </c>
      <c r="N34" s="5">
        <f t="shared" si="83"/>
        <v>3003</v>
      </c>
      <c r="O34" s="5">
        <f t="shared" si="83"/>
        <v>2971</v>
      </c>
      <c r="P34" s="5">
        <f t="shared" si="83"/>
        <v>656</v>
      </c>
      <c r="Q34" s="5">
        <f t="shared" si="83"/>
        <v>680</v>
      </c>
      <c r="R34" s="5">
        <f t="shared" si="83"/>
        <v>1227</v>
      </c>
      <c r="S34" s="5">
        <f t="shared" si="83"/>
        <v>2043</v>
      </c>
      <c r="T34" s="2">
        <f>T32-T33</f>
        <v>6188</v>
      </c>
      <c r="U34" s="2">
        <f t="shared" ref="U34" si="84">U32-U33</f>
        <v>9243</v>
      </c>
      <c r="V34" s="2">
        <f>+V32-V33</f>
        <v>12285</v>
      </c>
      <c r="W34" s="2">
        <f>+W32-W33</f>
        <v>14881</v>
      </c>
      <c r="X34" s="2">
        <f t="shared" ref="X34:AD34" si="85">+X32-X33</f>
        <v>16599</v>
      </c>
      <c r="Y34" s="2">
        <f t="shared" si="85"/>
        <v>19309</v>
      </c>
      <c r="Z34" s="2">
        <f t="shared" si="85"/>
        <v>22091</v>
      </c>
      <c r="AA34" s="2">
        <f t="shared" si="85"/>
        <v>26068.535419999993</v>
      </c>
      <c r="AB34" s="2">
        <f t="shared" si="85"/>
        <v>31232.91</v>
      </c>
      <c r="AC34" s="2">
        <f t="shared" si="85"/>
        <v>28726.396850000005</v>
      </c>
      <c r="AD34" s="2">
        <f t="shared" si="85"/>
        <v>34862.982220000005</v>
      </c>
      <c r="AH34" s="2">
        <f t="shared" ref="AH34" si="86">+AH32-AH33</f>
        <v>196.15</v>
      </c>
      <c r="AI34" s="2">
        <f t="shared" ref="AI34:AJ34" si="87">+AI32-AI33</f>
        <v>425.87299999999999</v>
      </c>
      <c r="AJ34" s="2">
        <f t="shared" si="87"/>
        <v>813.72099999999989</v>
      </c>
      <c r="AK34" s="2">
        <f t="shared" ref="AK34:AL34" si="88">+AK32-AK33</f>
        <v>169.30599999999993</v>
      </c>
      <c r="AL34" s="2">
        <f t="shared" si="88"/>
        <v>99.963999999999928</v>
      </c>
      <c r="AM34" s="2">
        <f t="shared" ref="AM34:AR34" si="89">+AM32-AM33</f>
        <v>99.925999999999846</v>
      </c>
      <c r="AN34" s="2">
        <f t="shared" si="89"/>
        <v>315.90799999999984</v>
      </c>
      <c r="AO34" s="2">
        <f t="shared" si="89"/>
        <v>448.92200000000031</v>
      </c>
      <c r="AP34" s="2">
        <f t="shared" si="89"/>
        <v>796.93899999999974</v>
      </c>
      <c r="AQ34" s="2">
        <f t="shared" si="89"/>
        <v>-1.3790000000003317</v>
      </c>
      <c r="AR34" s="2">
        <f t="shared" si="89"/>
        <v>-75.829999999999714</v>
      </c>
      <c r="AS34" s="2">
        <f t="shared" ref="AS34:BG34" si="90">+AS32-AS33</f>
        <v>196.14600000000007</v>
      </c>
      <c r="AT34" s="2">
        <f t="shared" si="90"/>
        <v>581.08999999999969</v>
      </c>
      <c r="AU34" s="2">
        <f t="shared" si="90"/>
        <v>562.53599999999994</v>
      </c>
      <c r="AV34" s="2">
        <f t="shared" si="90"/>
        <v>440</v>
      </c>
      <c r="AW34" s="2">
        <f t="shared" si="90"/>
        <v>649</v>
      </c>
      <c r="AX34" s="2">
        <f t="shared" si="90"/>
        <v>745</v>
      </c>
      <c r="AY34" s="2">
        <f t="shared" si="90"/>
        <v>1669</v>
      </c>
      <c r="AZ34" s="2">
        <f t="shared" si="90"/>
        <v>3047</v>
      </c>
      <c r="BA34" s="2">
        <f t="shared" si="90"/>
        <v>4141</v>
      </c>
      <c r="BB34" s="2">
        <f t="shared" si="90"/>
        <v>2796</v>
      </c>
      <c r="BC34" s="2">
        <f t="shared" si="90"/>
        <v>4332</v>
      </c>
      <c r="BD34" s="2">
        <f t="shared" si="90"/>
        <v>9752</v>
      </c>
      <c r="BE34" s="2">
        <f t="shared" si="90"/>
        <v>5537</v>
      </c>
      <c r="BF34" s="2">
        <f t="shared" si="90"/>
        <v>29759</v>
      </c>
      <c r="BG34" s="2">
        <f t="shared" si="90"/>
        <v>72880</v>
      </c>
      <c r="BH34" s="2">
        <f t="shared" ref="BH34:BK34" si="91">+BH32-BH33</f>
        <v>120890.82449</v>
      </c>
      <c r="BI34" s="2">
        <f t="shared" si="91"/>
        <v>178843.33084000001</v>
      </c>
      <c r="BJ34" s="2">
        <f t="shared" si="91"/>
        <v>252911.12717599998</v>
      </c>
      <c r="BK34" s="2">
        <f t="shared" si="91"/>
        <v>357237.05964640004</v>
      </c>
      <c r="BL34" s="2">
        <f t="shared" ref="BL34" si="92">+BL32-BL33</f>
        <v>466121.84346032003</v>
      </c>
      <c r="BM34" s="2">
        <f t="shared" ref="BM34" si="93">+BM32-BM33</f>
        <v>608115.56827441591</v>
      </c>
      <c r="BN34" s="2">
        <f t="shared" ref="BN34:CS34" si="94">BM34*(1+$BP$41)</f>
        <v>614196.72395716002</v>
      </c>
      <c r="BO34" s="2">
        <f t="shared" si="94"/>
        <v>620338.69119673164</v>
      </c>
      <c r="BP34" s="2">
        <f t="shared" si="94"/>
        <v>626542.07810869894</v>
      </c>
      <c r="BQ34" s="2">
        <f t="shared" si="94"/>
        <v>632807.49888978596</v>
      </c>
      <c r="BR34" s="2">
        <f t="shared" si="94"/>
        <v>639135.57387868385</v>
      </c>
      <c r="BS34" s="2">
        <f t="shared" si="94"/>
        <v>645526.92961747071</v>
      </c>
      <c r="BT34" s="2">
        <f t="shared" si="94"/>
        <v>651982.19891364546</v>
      </c>
      <c r="BU34" s="2">
        <f t="shared" si="94"/>
        <v>658502.02090278198</v>
      </c>
      <c r="BV34" s="2">
        <f t="shared" si="94"/>
        <v>665087.04111180978</v>
      </c>
      <c r="BW34" s="2">
        <f t="shared" si="94"/>
        <v>671737.91152292793</v>
      </c>
      <c r="BX34" s="2">
        <f t="shared" si="94"/>
        <v>678455.29063815717</v>
      </c>
      <c r="BY34" s="2">
        <f t="shared" si="94"/>
        <v>685239.84354453871</v>
      </c>
      <c r="BZ34" s="2">
        <f t="shared" si="94"/>
        <v>692092.2419799841</v>
      </c>
      <c r="CA34" s="2">
        <f t="shared" si="94"/>
        <v>699013.16439978394</v>
      </c>
      <c r="CB34" s="2">
        <f t="shared" si="94"/>
        <v>706003.2960437818</v>
      </c>
      <c r="CC34" s="2">
        <f t="shared" si="94"/>
        <v>713063.32900421962</v>
      </c>
      <c r="CD34" s="2">
        <f t="shared" si="94"/>
        <v>720193.96229426179</v>
      </c>
      <c r="CE34" s="2">
        <f t="shared" si="94"/>
        <v>727395.90191720438</v>
      </c>
      <c r="CF34" s="2">
        <f t="shared" si="94"/>
        <v>734669.86093637638</v>
      </c>
      <c r="CG34" s="2">
        <f t="shared" si="94"/>
        <v>742016.55954574014</v>
      </c>
      <c r="CH34" s="2">
        <f t="shared" si="94"/>
        <v>749436.72514119756</v>
      </c>
      <c r="CI34" s="2">
        <f t="shared" si="94"/>
        <v>756931.09239260957</v>
      </c>
      <c r="CJ34" s="2">
        <f t="shared" si="94"/>
        <v>764500.40331653564</v>
      </c>
      <c r="CK34" s="2">
        <f t="shared" si="94"/>
        <v>772145.40734970104</v>
      </c>
      <c r="CL34" s="2">
        <f t="shared" si="94"/>
        <v>779866.86142319802</v>
      </c>
      <c r="CM34" s="2">
        <f t="shared" si="94"/>
        <v>787665.53003743</v>
      </c>
      <c r="CN34" s="2">
        <f t="shared" si="94"/>
        <v>795542.18533780426</v>
      </c>
      <c r="CO34" s="2">
        <f t="shared" si="94"/>
        <v>803497.60719118232</v>
      </c>
      <c r="CP34" s="2">
        <f t="shared" si="94"/>
        <v>811532.58326309419</v>
      </c>
      <c r="CQ34" s="2">
        <f t="shared" si="94"/>
        <v>819647.90909572516</v>
      </c>
      <c r="CR34" s="2">
        <f t="shared" si="94"/>
        <v>827844.38818668236</v>
      </c>
      <c r="CS34" s="2">
        <f t="shared" si="94"/>
        <v>836122.83206854924</v>
      </c>
      <c r="CT34" s="2">
        <f t="shared" ref="CT34:DY34" si="95">CS34*(1+$BP$41)</f>
        <v>844484.06038923468</v>
      </c>
      <c r="CU34" s="2">
        <f t="shared" si="95"/>
        <v>852928.90099312703</v>
      </c>
      <c r="CV34" s="2">
        <f t="shared" si="95"/>
        <v>861458.19000305829</v>
      </c>
      <c r="CW34" s="2">
        <f t="shared" si="95"/>
        <v>870072.7719030889</v>
      </c>
      <c r="CX34" s="2">
        <f t="shared" si="95"/>
        <v>878773.49962211982</v>
      </c>
      <c r="CY34" s="2">
        <f t="shared" si="95"/>
        <v>887561.23461834108</v>
      </c>
      <c r="CZ34" s="2">
        <f t="shared" si="95"/>
        <v>896436.84696452448</v>
      </c>
      <c r="DA34" s="2">
        <f t="shared" si="95"/>
        <v>905401.21543416975</v>
      </c>
      <c r="DB34" s="2">
        <f t="shared" si="95"/>
        <v>914455.22758851142</v>
      </c>
      <c r="DC34" s="2">
        <f t="shared" si="95"/>
        <v>923599.77986439655</v>
      </c>
      <c r="DD34" s="2">
        <f t="shared" si="95"/>
        <v>932835.77766304056</v>
      </c>
      <c r="DE34" s="2">
        <f t="shared" si="95"/>
        <v>942164.13543967099</v>
      </c>
      <c r="DF34" s="2">
        <f t="shared" si="95"/>
        <v>951585.7767940677</v>
      </c>
      <c r="DG34" s="2">
        <f t="shared" si="95"/>
        <v>961101.63456200843</v>
      </c>
      <c r="DH34" s="2">
        <f t="shared" si="95"/>
        <v>970712.65090762847</v>
      </c>
      <c r="DI34" s="2">
        <f t="shared" si="95"/>
        <v>980419.7774167048</v>
      </c>
      <c r="DJ34" s="2">
        <f t="shared" si="95"/>
        <v>990223.97519087186</v>
      </c>
      <c r="DK34" s="2">
        <f t="shared" si="95"/>
        <v>1000126.2149427806</v>
      </c>
      <c r="DL34" s="2">
        <f t="shared" si="95"/>
        <v>1010127.4770922083</v>
      </c>
      <c r="DM34" s="2">
        <f t="shared" si="95"/>
        <v>1020228.7518631305</v>
      </c>
      <c r="DN34" s="2">
        <f t="shared" si="95"/>
        <v>1030431.0393817618</v>
      </c>
      <c r="DO34" s="2">
        <f t="shared" si="95"/>
        <v>1040735.3497755794</v>
      </c>
      <c r="DP34" s="2">
        <f t="shared" si="95"/>
        <v>1051142.7032733352</v>
      </c>
      <c r="DQ34" s="2">
        <f t="shared" si="95"/>
        <v>1061654.1303060686</v>
      </c>
      <c r="DR34" s="2">
        <f t="shared" si="95"/>
        <v>1072270.6716091293</v>
      </c>
      <c r="DS34" s="2">
        <f t="shared" si="95"/>
        <v>1082993.3783252207</v>
      </c>
      <c r="DT34" s="2">
        <f t="shared" si="95"/>
        <v>1093823.3121084729</v>
      </c>
      <c r="DU34" s="2">
        <f t="shared" si="95"/>
        <v>1104761.5452295577</v>
      </c>
      <c r="DV34" s="2">
        <f t="shared" si="95"/>
        <v>1115809.1606818533</v>
      </c>
      <c r="DW34" s="2">
        <f t="shared" si="95"/>
        <v>1126967.2522886719</v>
      </c>
      <c r="DX34" s="2">
        <f t="shared" si="95"/>
        <v>1138236.9248115586</v>
      </c>
      <c r="DY34" s="2">
        <f t="shared" si="95"/>
        <v>1149619.2940596743</v>
      </c>
      <c r="DZ34" s="2">
        <f t="shared" ref="DZ34:FE34" si="96">DY34*(1+$BP$41)</f>
        <v>1161115.487000271</v>
      </c>
      <c r="EA34" s="2">
        <f t="shared" si="96"/>
        <v>1172726.6418702737</v>
      </c>
      <c r="EB34" s="2">
        <f t="shared" si="96"/>
        <v>1184453.9082889764</v>
      </c>
      <c r="EC34" s="2">
        <f t="shared" si="96"/>
        <v>1196298.4473718661</v>
      </c>
      <c r="ED34" s="2">
        <f t="shared" si="96"/>
        <v>1208261.4318455847</v>
      </c>
      <c r="EE34" s="2">
        <f t="shared" si="96"/>
        <v>1220344.0461640405</v>
      </c>
      <c r="EF34" s="2">
        <f t="shared" si="96"/>
        <v>1232547.4866256809</v>
      </c>
      <c r="EG34" s="2">
        <f t="shared" si="96"/>
        <v>1244872.9614919377</v>
      </c>
      <c r="EH34" s="2">
        <f t="shared" si="96"/>
        <v>1257321.691106857</v>
      </c>
      <c r="EI34" s="2">
        <f t="shared" si="96"/>
        <v>1269894.9080179257</v>
      </c>
      <c r="EJ34" s="2">
        <f t="shared" si="96"/>
        <v>1282593.8570981049</v>
      </c>
      <c r="EK34" s="2">
        <f t="shared" si="96"/>
        <v>1295419.795669086</v>
      </c>
      <c r="EL34" s="2">
        <f t="shared" si="96"/>
        <v>1308373.9936257768</v>
      </c>
      <c r="EM34" s="2">
        <f t="shared" si="96"/>
        <v>1321457.7335620346</v>
      </c>
      <c r="EN34" s="2">
        <f t="shared" si="96"/>
        <v>1334672.3108976549</v>
      </c>
      <c r="EO34" s="2">
        <f t="shared" si="96"/>
        <v>1348019.0340066315</v>
      </c>
      <c r="EP34" s="2">
        <f t="shared" si="96"/>
        <v>1361499.2243466978</v>
      </c>
      <c r="EQ34" s="2">
        <f t="shared" si="96"/>
        <v>1375114.2165901647</v>
      </c>
      <c r="ER34" s="2">
        <f t="shared" si="96"/>
        <v>1388865.3587560663</v>
      </c>
      <c r="ES34" s="2">
        <f t="shared" si="96"/>
        <v>1402754.0123436269</v>
      </c>
      <c r="ET34" s="2">
        <f t="shared" si="96"/>
        <v>1416781.5524670633</v>
      </c>
      <c r="EU34" s="2">
        <f t="shared" si="96"/>
        <v>1430949.3679917341</v>
      </c>
      <c r="EV34" s="2">
        <f t="shared" si="96"/>
        <v>1445258.8616716515</v>
      </c>
      <c r="EW34" s="2">
        <f t="shared" si="96"/>
        <v>1459711.4502883679</v>
      </c>
      <c r="EX34" s="2">
        <f t="shared" si="96"/>
        <v>1474308.5647912517</v>
      </c>
      <c r="EY34" s="2">
        <f t="shared" si="96"/>
        <v>1489051.6504391641</v>
      </c>
      <c r="EZ34" s="2">
        <f t="shared" si="96"/>
        <v>1503942.1669435557</v>
      </c>
      <c r="FA34" s="2">
        <f t="shared" si="96"/>
        <v>1518981.5886129912</v>
      </c>
      <c r="FB34" s="2">
        <f t="shared" si="96"/>
        <v>1534171.404499121</v>
      </c>
      <c r="FC34" s="2">
        <f t="shared" si="96"/>
        <v>1549513.1185441122</v>
      </c>
      <c r="FD34" s="2">
        <f t="shared" si="96"/>
        <v>1565008.2497295532</v>
      </c>
      <c r="FE34" s="2">
        <f t="shared" si="96"/>
        <v>1580658.3322268487</v>
      </c>
    </row>
    <row r="35" spans="2:161" x14ac:dyDescent="0.25">
      <c r="B35" t="s">
        <v>12</v>
      </c>
      <c r="C35" s="6">
        <f t="shared" ref="C35:F35" si="97">+C34/C36</f>
        <v>0.15990259740259741</v>
      </c>
      <c r="D35" s="6">
        <f t="shared" si="97"/>
        <v>0.22402597402597402</v>
      </c>
      <c r="E35" s="6">
        <f t="shared" si="97"/>
        <v>0.36367313915857608</v>
      </c>
      <c r="F35" s="6">
        <f t="shared" si="97"/>
        <v>0.38470873786407767</v>
      </c>
      <c r="G35" s="6">
        <f t="shared" ref="G35:T35" si="98">+G34/G36</f>
        <v>0.36856913183279744</v>
      </c>
      <c r="H35" s="6">
        <f t="shared" si="98"/>
        <v>0.24840255591054314</v>
      </c>
      <c r="I35" s="6">
        <f t="shared" si="98"/>
        <v>0.53015873015873016</v>
      </c>
      <c r="J35" s="6">
        <f t="shared" si="98"/>
        <v>0.57725832012678291</v>
      </c>
      <c r="K35" s="6">
        <f t="shared" si="98"/>
        <v>0.75632911392405067</v>
      </c>
      <c r="L35" s="6">
        <f t="shared" si="98"/>
        <v>0.93759873617693523</v>
      </c>
      <c r="M35" s="6">
        <f t="shared" si="98"/>
        <v>0.97084318360914101</v>
      </c>
      <c r="N35" s="6">
        <f t="shared" si="98"/>
        <v>1.1799607072691551</v>
      </c>
      <c r="O35" s="6">
        <f t="shared" si="98"/>
        <v>1.1710681907765077</v>
      </c>
      <c r="P35" s="6">
        <f t="shared" si="98"/>
        <v>0.26073131955484896</v>
      </c>
      <c r="Q35" s="6">
        <f t="shared" si="98"/>
        <v>0.27210884353741499</v>
      </c>
      <c r="R35" s="6">
        <f t="shared" si="98"/>
        <v>4.894295971280415E-2</v>
      </c>
      <c r="S35" s="6">
        <f t="shared" si="98"/>
        <v>8.2048192771084341E-2</v>
      </c>
      <c r="T35" s="6">
        <f t="shared" si="98"/>
        <v>0.24757941906057454</v>
      </c>
      <c r="U35" s="6">
        <f t="shared" ref="U35:W35" si="99">+U34/U36</f>
        <v>3.7060946271050521</v>
      </c>
      <c r="V35" s="6">
        <f t="shared" si="99"/>
        <v>0.49337349397590363</v>
      </c>
      <c r="W35" s="6">
        <f t="shared" si="99"/>
        <v>5.978706307754118</v>
      </c>
      <c r="X35" s="6">
        <f t="shared" ref="X35:AD35" si="100">+X34/X36</f>
        <v>0.66802157115260785</v>
      </c>
      <c r="Y35" s="6">
        <f t="shared" si="100"/>
        <v>0.77940582869136998</v>
      </c>
      <c r="Z35" s="6">
        <f t="shared" si="100"/>
        <v>0.8941552659273051</v>
      </c>
      <c r="AA35" s="6">
        <f t="shared" si="100"/>
        <v>1.0592229255211081</v>
      </c>
      <c r="AB35" s="6">
        <f t="shared" si="100"/>
        <v>1.2690630206005444</v>
      </c>
      <c r="AC35" s="6">
        <f t="shared" si="100"/>
        <v>1.1672177826987935</v>
      </c>
      <c r="AD35" s="6">
        <f t="shared" si="100"/>
        <v>1.4165609776116372</v>
      </c>
      <c r="AE35" s="6"/>
      <c r="AF35" s="6"/>
      <c r="AG35" s="6"/>
      <c r="AH35" s="15">
        <f t="shared" ref="AH35" si="101">+AH34/AH36</f>
        <v>1.1648346427701863</v>
      </c>
      <c r="AI35" s="15">
        <f t="shared" ref="AI35:AJ35" si="102">+AI34/AI36</f>
        <v>2.5290421810882875</v>
      </c>
      <c r="AJ35" s="15">
        <f t="shared" si="102"/>
        <v>4.8322733130237001</v>
      </c>
      <c r="AK35" s="15">
        <f t="shared" ref="AK35:AL35" si="103">+AK34/AK36</f>
        <v>1.0054218405753204</v>
      </c>
      <c r="AL35" s="15">
        <f t="shared" si="103"/>
        <v>0.57880688101814015</v>
      </c>
      <c r="AM35" s="15">
        <f t="shared" ref="AM35:AR35" si="104">+AM34/AM36</f>
        <v>0.56596699101711534</v>
      </c>
      <c r="AN35" s="15">
        <f t="shared" si="104"/>
        <v>0.62055905867562389</v>
      </c>
      <c r="AO35" s="15">
        <f t="shared" si="104"/>
        <v>0.76444003977822339</v>
      </c>
      <c r="AP35" s="15">
        <f t="shared" si="104"/>
        <v>1.3134942610575999</v>
      </c>
      <c r="AQ35" s="15">
        <f t="shared" si="104"/>
        <v>-2.515844896976848E-3</v>
      </c>
      <c r="AR35" s="15">
        <f t="shared" si="104"/>
        <v>-0.13797959874375373</v>
      </c>
      <c r="AS35" s="15">
        <f t="shared" ref="AS35" si="105">+AS34/AS36</f>
        <v>0.33319403958660349</v>
      </c>
      <c r="AT35" s="15">
        <f t="shared" ref="AT35:AU35" si="106">+AT34/AT36</f>
        <v>0.94276012336725723</v>
      </c>
      <c r="AU35" s="15">
        <f t="shared" si="106"/>
        <v>0.90011952822354169</v>
      </c>
      <c r="AV35" s="15">
        <f t="shared" ref="AV35:AW35" si="107">+AV34/AV36</f>
        <v>0.73949579831932777</v>
      </c>
      <c r="AW35" s="15">
        <f t="shared" si="107"/>
        <v>1.152753108348135</v>
      </c>
      <c r="AX35" s="15">
        <f t="shared" ref="AX35:AY35" si="108">+AX34/AX36</f>
        <v>1.3093145869947276</v>
      </c>
      <c r="AY35" s="15">
        <f t="shared" si="108"/>
        <v>2.5716486902927582</v>
      </c>
      <c r="AZ35" s="15">
        <f t="shared" ref="AZ35:BA35" si="109">+AZ34/AZ36</f>
        <v>4.8212025316455698</v>
      </c>
      <c r="BA35" s="15">
        <f t="shared" si="109"/>
        <v>6.6256000000000004</v>
      </c>
      <c r="BB35" s="15">
        <f t="shared" ref="BB35:BC35" si="110">+BB34/BB36</f>
        <v>1.1310679611650485</v>
      </c>
      <c r="BC35" s="15">
        <f t="shared" si="110"/>
        <v>1.7258964143426294</v>
      </c>
      <c r="BD35" s="15">
        <f t="shared" ref="BD35:BK35" si="111">+BD34/BD36</f>
        <v>3.8469428007889546</v>
      </c>
      <c r="BE35" s="15">
        <f t="shared" si="111"/>
        <v>0.22086158755484642</v>
      </c>
      <c r="BF35" s="15">
        <f t="shared" si="111"/>
        <v>1.1932237369687249</v>
      </c>
      <c r="BG35" s="15">
        <f t="shared" si="111"/>
        <v>2.9382357684244478</v>
      </c>
      <c r="BH35" s="15">
        <f t="shared" si="111"/>
        <v>4.9120647064320835</v>
      </c>
      <c r="BI35" s="15">
        <f t="shared" si="111"/>
        <v>7.2668047149648531</v>
      </c>
      <c r="BJ35" s="15">
        <f t="shared" si="111"/>
        <v>10.276345015480882</v>
      </c>
      <c r="BK35" s="15">
        <f t="shared" si="111"/>
        <v>14.51534109326724</v>
      </c>
      <c r="BL35" s="15">
        <f t="shared" ref="BL35:BM35" si="112">+BL34/BL36</f>
        <v>18.939573502105564</v>
      </c>
      <c r="BM35" s="15">
        <f t="shared" si="112"/>
        <v>24.709096268921048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v>24611</v>
      </c>
      <c r="AB36" s="2">
        <f>+AA36</f>
        <v>24611</v>
      </c>
      <c r="AC36" s="2">
        <f>+AB36</f>
        <v>24611</v>
      </c>
      <c r="AD36" s="2">
        <f>+AC36</f>
        <v>24611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24611</v>
      </c>
      <c r="BI36" s="2">
        <f>+BH36</f>
        <v>24611</v>
      </c>
      <c r="BJ36" s="2">
        <f>+BI36</f>
        <v>24611</v>
      </c>
      <c r="BK36" s="2">
        <f>+BJ36</f>
        <v>24611</v>
      </c>
      <c r="BL36" s="2">
        <f t="shared" ref="BL36:BM36" si="113">+BK36</f>
        <v>24611</v>
      </c>
      <c r="BM36" s="2">
        <f t="shared" si="113"/>
        <v>24611</v>
      </c>
      <c r="BN36" s="2"/>
    </row>
    <row r="38" spans="2:161" s="11" customFormat="1" ht="13" x14ac:dyDescent="0.3">
      <c r="B38" s="11" t="s">
        <v>71</v>
      </c>
      <c r="C38" s="29"/>
      <c r="D38" s="29"/>
      <c r="E38" s="29"/>
      <c r="F38" s="29"/>
      <c r="G38" s="17">
        <f t="shared" ref="G38" si="114">+G24/C24-1</f>
        <v>0.38738738738738743</v>
      </c>
      <c r="H38" s="17">
        <f t="shared" ref="H38" si="115">+H24/D24-1</f>
        <v>0.49903063202791786</v>
      </c>
      <c r="I38" s="17">
        <f t="shared" ref="I38" si="116">+I24/E24-1</f>
        <v>0.56801592568015935</v>
      </c>
      <c r="J38" s="17">
        <f t="shared" ref="J38" si="117">+J24/F24-1</f>
        <v>0.61127214170692423</v>
      </c>
      <c r="K38" s="17">
        <f t="shared" ref="K38:M38" si="118">+K24/G24-1</f>
        <v>0.83798701298701306</v>
      </c>
      <c r="L38" s="17">
        <f t="shared" si="118"/>
        <v>0.68313502327987585</v>
      </c>
      <c r="M38" s="17">
        <f t="shared" si="118"/>
        <v>0.50296233601354201</v>
      </c>
      <c r="N38" s="17">
        <f t="shared" ref="N38:V38" si="119">+N24/J24-1</f>
        <v>0.52768338996602049</v>
      </c>
      <c r="O38" s="17">
        <f t="shared" si="119"/>
        <v>0.46405228758169925</v>
      </c>
      <c r="P38" s="17">
        <f t="shared" si="119"/>
        <v>3.0275088366374714E-2</v>
      </c>
      <c r="Q38" s="17">
        <f t="shared" si="119"/>
        <v>-0.16500070392791777</v>
      </c>
      <c r="R38" s="17">
        <f t="shared" si="119"/>
        <v>-0.20829517205285886</v>
      </c>
      <c r="S38" s="17">
        <f t="shared" si="119"/>
        <v>-0.13223938223938225</v>
      </c>
      <c r="T38" s="17">
        <f t="shared" si="119"/>
        <v>1.0147673031026252</v>
      </c>
      <c r="U38" s="17">
        <f t="shared" si="119"/>
        <v>2.0551340414769852</v>
      </c>
      <c r="V38" s="17">
        <f t="shared" si="119"/>
        <v>2.6527846636919516</v>
      </c>
      <c r="W38" s="17">
        <f>+W24/S24-1</f>
        <v>2.6212458286985538</v>
      </c>
      <c r="X38" s="17">
        <f t="shared" ref="X38" si="120">+X24/T24-1</f>
        <v>1.2240319834160065</v>
      </c>
      <c r="Y38" s="17">
        <f t="shared" ref="Y38" si="121">+Y24/U24-1</f>
        <v>0.93609271523178816</v>
      </c>
      <c r="Z38" s="17">
        <f t="shared" ref="Z38:AA38" si="122">+Z24/V24-1</f>
        <v>0.77944170474596208</v>
      </c>
      <c r="AA38" s="17">
        <f t="shared" si="122"/>
        <v>0.7016882967286131</v>
      </c>
      <c r="AB38" s="17">
        <f t="shared" ref="AB38" si="123">+AB24/X24-1</f>
        <v>0.76431424766977374</v>
      </c>
      <c r="AC38" s="17">
        <f t="shared" ref="AC38" si="124">+AC24/Y24-1</f>
        <v>0.41612436577162093</v>
      </c>
      <c r="AD38" s="17">
        <f t="shared" ref="AD38" si="125">+AD24/Z24-1</f>
        <v>0.52079962370649113</v>
      </c>
      <c r="AE38" s="17"/>
      <c r="AF38" s="17"/>
      <c r="AG38" s="17"/>
      <c r="AH38" s="17"/>
      <c r="AI38" s="17"/>
      <c r="AJ38" s="17"/>
      <c r="AK38" s="17"/>
      <c r="AL38" s="17">
        <f t="shared" ref="AL38:AN38" si="126">+AL24/AK24-1</f>
        <v>-4.5302121504288917E-2</v>
      </c>
      <c r="AM38" s="17">
        <f t="shared" si="126"/>
        <v>0.10262953627235039</v>
      </c>
      <c r="AN38" s="17">
        <f t="shared" si="126"/>
        <v>0.18191442628056365</v>
      </c>
      <c r="AO38" s="17">
        <f t="shared" ref="AO38" si="127">+AO24/AN24-1</f>
        <v>0.29174045234073365</v>
      </c>
      <c r="AP38" s="17">
        <f t="shared" ref="AP38" si="128">+AP24/AO24-1</f>
        <v>0.33534238951032824</v>
      </c>
      <c r="AQ38" s="17">
        <f t="shared" ref="AQ38" si="129">+AQ24/AP24-1</f>
        <v>-0.16423230661857646</v>
      </c>
      <c r="AR38" s="17">
        <f t="shared" ref="AR38" si="130">+AR24/AQ24-1</f>
        <v>-2.8735197565797566E-2</v>
      </c>
      <c r="AS38" s="17">
        <f t="shared" ref="AS38" si="131">+AS24/AR24-1</f>
        <v>6.5193923242380381E-2</v>
      </c>
      <c r="AT38" s="17">
        <f t="shared" ref="AT38:BM38" si="132">+AT24/AS24-1</f>
        <v>0.12830407960468571</v>
      </c>
      <c r="AU38" s="17">
        <f t="shared" si="132"/>
        <v>7.0593782282331041E-2</v>
      </c>
      <c r="AV38" s="17">
        <f t="shared" si="132"/>
        <v>-3.5082575203397748E-2</v>
      </c>
      <c r="AW38" s="17">
        <f t="shared" si="132"/>
        <v>0.13365617433414045</v>
      </c>
      <c r="AX38" s="17">
        <f t="shared" si="132"/>
        <v>7.0055531824006811E-2</v>
      </c>
      <c r="AY38" s="17">
        <f t="shared" si="132"/>
        <v>0.37924151696606789</v>
      </c>
      <c r="AZ38" s="17">
        <f t="shared" si="132"/>
        <v>0.40578871201157751</v>
      </c>
      <c r="BA38" s="17">
        <f t="shared" si="132"/>
        <v>0.20609429689108505</v>
      </c>
      <c r="BB38" s="17">
        <f t="shared" si="132"/>
        <v>-6.8111983612154314E-2</v>
      </c>
      <c r="BC38" s="17">
        <f t="shared" si="132"/>
        <v>0.52729437625938824</v>
      </c>
      <c r="BD38" s="17">
        <f t="shared" si="132"/>
        <v>0.61397301349325328</v>
      </c>
      <c r="BE38" s="17">
        <f t="shared" si="132"/>
        <v>2.378032920893336E-3</v>
      </c>
      <c r="BF38" s="17">
        <f t="shared" si="132"/>
        <v>1.2582941023835117</v>
      </c>
      <c r="BG38" s="17">
        <f t="shared" si="132"/>
        <v>1.1420340763599355</v>
      </c>
      <c r="BH38" s="17">
        <f>+BH24/BG24-1</f>
        <v>0.58481662413695346</v>
      </c>
      <c r="BI38" s="17">
        <f t="shared" si="132"/>
        <v>0.50000000000000022</v>
      </c>
      <c r="BJ38" s="17">
        <f t="shared" si="132"/>
        <v>0.39999999999999991</v>
      </c>
      <c r="BK38" s="17">
        <f t="shared" si="132"/>
        <v>0.39999999999999991</v>
      </c>
      <c r="BL38" s="17">
        <f t="shared" si="132"/>
        <v>0.30000000000000004</v>
      </c>
      <c r="BM38" s="17">
        <f t="shared" si="132"/>
        <v>0.30000000000000004</v>
      </c>
      <c r="BN38" s="17"/>
      <c r="BO38" s="17"/>
    </row>
    <row r="39" spans="2:161" x14ac:dyDescent="0.25">
      <c r="B39" t="s">
        <v>72</v>
      </c>
      <c r="D39" s="7">
        <f t="shared" ref="D39" si="133">+D24/C24-1</f>
        <v>0.16171171171171173</v>
      </c>
      <c r="E39" s="7">
        <f t="shared" ref="E39" si="134">+E24/D24-1</f>
        <v>0.16867002714230317</v>
      </c>
      <c r="F39" s="7">
        <f t="shared" ref="F39" si="135">+F24/E24-1</f>
        <v>3.0192435301924281E-2</v>
      </c>
      <c r="G39" s="10">
        <f t="shared" ref="G39:H39" si="136">+G24/F24-1</f>
        <v>-8.0515297906602612E-3</v>
      </c>
      <c r="H39" s="10">
        <f t="shared" si="136"/>
        <v>0.2551948051948052</v>
      </c>
      <c r="I39" s="10">
        <f t="shared" ref="I39" si="137">+I24/H24-1</f>
        <v>0.22245214692188298</v>
      </c>
      <c r="J39" s="10">
        <f t="shared" ref="J39" si="138">+J24/I24-1</f>
        <v>5.8611933982225972E-2</v>
      </c>
      <c r="K39" s="10">
        <f t="shared" ref="K39:V39" si="139">+K24/J24-1</f>
        <v>0.13152108734759138</v>
      </c>
      <c r="L39" s="10">
        <f t="shared" si="139"/>
        <v>0.14944356120826718</v>
      </c>
      <c r="M39" s="10">
        <f t="shared" si="139"/>
        <v>9.1593668357153879E-2</v>
      </c>
      <c r="N39" s="10">
        <f t="shared" si="139"/>
        <v>7.6024215120371608E-2</v>
      </c>
      <c r="O39" s="10">
        <f t="shared" si="139"/>
        <v>8.4390945963626951E-2</v>
      </c>
      <c r="P39" s="10">
        <f t="shared" si="139"/>
        <v>-0.19111969111969107</v>
      </c>
      <c r="Q39" s="10">
        <f t="shared" si="139"/>
        <v>-0.11530429594272074</v>
      </c>
      <c r="R39" s="10">
        <f t="shared" si="139"/>
        <v>2.0232675771370667E-2</v>
      </c>
      <c r="S39" s="10">
        <f t="shared" si="139"/>
        <v>0.1885638737398776</v>
      </c>
      <c r="T39" s="10">
        <f t="shared" si="139"/>
        <v>0.87805895439377091</v>
      </c>
      <c r="U39" s="10">
        <f t="shared" si="139"/>
        <v>0.34152661582882948</v>
      </c>
      <c r="V39" s="10">
        <f t="shared" si="139"/>
        <v>0.21981236203090515</v>
      </c>
      <c r="W39" s="10">
        <f>+W24/V24-1</f>
        <v>0.17830158801972584</v>
      </c>
      <c r="X39" s="10">
        <f t="shared" ref="X39" si="140">+X24/W24-1</f>
        <v>0.1534326524343419</v>
      </c>
      <c r="Y39" s="10">
        <f t="shared" ref="Y39" si="141">+Y24/X24-1</f>
        <v>0.16784287616511318</v>
      </c>
      <c r="Z39" s="10">
        <f t="shared" ref="Z39" si="142">+Z24/Y24-1</f>
        <v>0.12111624194743742</v>
      </c>
      <c r="AA39" s="10">
        <f t="shared" ref="AA39" si="143">+AA24/Z24-1</f>
        <v>0.12681523480206436</v>
      </c>
      <c r="AB39" s="10">
        <f t="shared" ref="AB39" si="144">+AB24/AA24-1</f>
        <v>0.19588156440262217</v>
      </c>
      <c r="AC39" s="10">
        <f t="shared" ref="AC39" si="145">+AC24/AB24-1</f>
        <v>-6.2632547169811259E-2</v>
      </c>
      <c r="AD39" s="10">
        <f t="shared" ref="AD39" si="146">+AD24/AC24-1</f>
        <v>0.20398546914054272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7">+E22/D22-1</f>
        <v>0.10839694656488552</v>
      </c>
      <c r="F40" s="10">
        <f t="shared" ref="F40" si="148">+F22/E22-1</f>
        <v>0.33333333333333326</v>
      </c>
      <c r="G40" s="10">
        <f t="shared" ref="G40" si="149">+G22/F22-1</f>
        <v>0.17871900826446274</v>
      </c>
      <c r="H40" s="10">
        <f t="shared" ref="H40" si="150">+H22/G22-1</f>
        <v>0.5354951796669587</v>
      </c>
      <c r="I40" s="10">
        <f t="shared" ref="I40" si="151">+I22/H22-1</f>
        <v>8.4474885844748826E-2</v>
      </c>
      <c r="J40" s="10">
        <f t="shared" ref="J40" si="152">+J22/I22-1</f>
        <v>1.5789473684211242E-3</v>
      </c>
      <c r="K40" s="10">
        <f t="shared" ref="K40" si="153">+K22/J22-1</f>
        <v>7.7246452968996238E-2</v>
      </c>
      <c r="L40" s="10">
        <f t="shared" ref="L40:V40" si="154">+L22/K22-1</f>
        <v>0.15414634146341455</v>
      </c>
      <c r="M40" s="10">
        <f t="shared" si="154"/>
        <v>0.24091293322062546</v>
      </c>
      <c r="N40" s="10">
        <f t="shared" si="154"/>
        <v>0.11035422343324242</v>
      </c>
      <c r="O40" s="10">
        <f t="shared" si="154"/>
        <v>0.15030674846625769</v>
      </c>
      <c r="P40" s="10">
        <f t="shared" si="154"/>
        <v>1.4933333333333243E-2</v>
      </c>
      <c r="Q40" s="10">
        <f t="shared" si="154"/>
        <v>7.0940620073567384E-3</v>
      </c>
      <c r="R40" s="10">
        <f t="shared" si="154"/>
        <v>-5.5570049569527824E-2</v>
      </c>
      <c r="S40" s="10">
        <f t="shared" si="154"/>
        <v>0.18342541436464099</v>
      </c>
      <c r="T40" s="10">
        <f t="shared" si="154"/>
        <v>1.4096638655462184</v>
      </c>
      <c r="U40" s="10">
        <f t="shared" si="154"/>
        <v>0.40598663179308336</v>
      </c>
      <c r="V40" s="10">
        <f t="shared" si="154"/>
        <v>0.2680170869505305</v>
      </c>
      <c r="W40" s="10">
        <f>+W22/V22-1</f>
        <v>0.22598348185177142</v>
      </c>
      <c r="X40" s="10">
        <f t="shared" ref="X40" si="155">+X22/W22-1</f>
        <v>0.16438416877188322</v>
      </c>
      <c r="Y40" s="10">
        <f t="shared" ref="Y40" si="156">+Y22/X22-1</f>
        <v>0.17124695493300846</v>
      </c>
      <c r="Z40" s="10">
        <f t="shared" ref="Z40" si="157">+Z22/Y22-1</f>
        <v>0.15628351369796234</v>
      </c>
      <c r="AA40" s="10">
        <f t="shared" ref="AA40" si="158">+AA22/Z22-1</f>
        <v>0.14146711635750431</v>
      </c>
      <c r="AB40" s="10">
        <f t="shared" ref="AB40" si="159">+AB22/AA22-1</f>
        <v>0.22907217814809866</v>
      </c>
      <c r="AC40" s="10">
        <f t="shared" ref="AC40" si="160">+AC22/AB22-1</f>
        <v>-0.13697592794409907</v>
      </c>
      <c r="AD40" s="10">
        <f t="shared" ref="AD40" si="161">+AD22/AC22-1</f>
        <v>0.23887519324781703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2">C26/C24</f>
        <v>0.58378378378378382</v>
      </c>
      <c r="D41" s="7">
        <f t="shared" si="162"/>
        <v>0.59751841799146954</v>
      </c>
      <c r="E41" s="7">
        <f t="shared" si="162"/>
        <v>0.63570006635700071</v>
      </c>
      <c r="F41" s="7">
        <f t="shared" si="162"/>
        <v>0.64895330112721417</v>
      </c>
      <c r="G41" s="7">
        <f t="shared" ref="G41:H41" si="163">G26/G24</f>
        <v>0.6506493506493507</v>
      </c>
      <c r="H41" s="7">
        <f t="shared" si="163"/>
        <v>0.58846352819451631</v>
      </c>
      <c r="I41" s="7">
        <f t="shared" ref="I41:U41" si="164">I26/I24</f>
        <v>0.62632247143461706</v>
      </c>
      <c r="J41" s="7">
        <f t="shared" si="164"/>
        <v>0.6310213871676994</v>
      </c>
      <c r="K41" s="7">
        <f t="shared" si="164"/>
        <v>0.6410528175234057</v>
      </c>
      <c r="L41" s="7">
        <f t="shared" si="164"/>
        <v>0.64776394651913327</v>
      </c>
      <c r="M41" s="7">
        <f t="shared" si="164"/>
        <v>0.65197803744896521</v>
      </c>
      <c r="N41" s="7">
        <f t="shared" si="164"/>
        <v>0.65406254088708626</v>
      </c>
      <c r="O41" s="7">
        <f t="shared" si="164"/>
        <v>0.65528474903474898</v>
      </c>
      <c r="P41" s="7">
        <f t="shared" si="164"/>
        <v>0.43481503579952269</v>
      </c>
      <c r="Q41" s="7">
        <f t="shared" si="164"/>
        <v>0.53566009104704093</v>
      </c>
      <c r="R41" s="7">
        <f t="shared" si="164"/>
        <v>0.63344901669145592</v>
      </c>
      <c r="S41" s="7">
        <f t="shared" si="164"/>
        <v>0.64627363737486099</v>
      </c>
      <c r="T41" s="7">
        <f t="shared" si="164"/>
        <v>0.7005256533649219</v>
      </c>
      <c r="U41" s="7">
        <f t="shared" si="164"/>
        <v>0.73951434878587197</v>
      </c>
      <c r="V41" s="7">
        <f t="shared" ref="V41:X41" si="165">V26/V24</f>
        <v>0.75967063294575399</v>
      </c>
      <c r="W41" s="7">
        <f t="shared" si="165"/>
        <v>0.78352019659038552</v>
      </c>
      <c r="X41" s="7">
        <f t="shared" si="165"/>
        <v>0.75146471371504664</v>
      </c>
      <c r="Y41" s="7">
        <f t="shared" ref="Y41:AD41" si="166">Y26/Y24</f>
        <v>0.74556752750698363</v>
      </c>
      <c r="Z41" s="7">
        <f t="shared" si="166"/>
        <v>0.73028908494571709</v>
      </c>
      <c r="AA41" s="7">
        <f t="shared" si="166"/>
        <v>0.7599999999999999</v>
      </c>
      <c r="AB41" s="7">
        <f t="shared" si="166"/>
        <v>0.76</v>
      </c>
      <c r="AC41" s="7">
        <f t="shared" si="166"/>
        <v>0.76</v>
      </c>
      <c r="AD41" s="7">
        <f t="shared" si="166"/>
        <v>0.76</v>
      </c>
      <c r="AE41" s="7"/>
      <c r="AF41" s="7"/>
      <c r="AG41" s="7"/>
      <c r="AH41" s="7">
        <f t="shared" ref="AH41" si="167">AH26/AH24</f>
        <v>0.62125205270957662</v>
      </c>
      <c r="AI41" s="7">
        <f t="shared" ref="AI41:AJ41" si="168">AI26/AI24</f>
        <v>0.62886935848892367</v>
      </c>
      <c r="AJ41" s="7">
        <f t="shared" si="168"/>
        <v>0.6208477580029077</v>
      </c>
      <c r="AK41" s="7">
        <f t="shared" ref="AK41:AR41" si="169">AK26/AK24</f>
        <v>0.30489246362952205</v>
      </c>
      <c r="AL41" s="7">
        <f t="shared" si="169"/>
        <v>0.29012285066197824</v>
      </c>
      <c r="AM41" s="7">
        <f t="shared" si="169"/>
        <v>0.3231220581950644</v>
      </c>
      <c r="AN41" s="7">
        <f t="shared" si="169"/>
        <v>0.38306098404377342</v>
      </c>
      <c r="AO41" s="7">
        <f t="shared" si="169"/>
        <v>0.42376866830402143</v>
      </c>
      <c r="AP41" s="7">
        <f t="shared" si="169"/>
        <v>0.45616004451103742</v>
      </c>
      <c r="AQ41" s="7">
        <f t="shared" si="169"/>
        <v>0.34286637785672341</v>
      </c>
      <c r="AR41" s="7">
        <f t="shared" si="169"/>
        <v>0.35380804432359475</v>
      </c>
      <c r="AS41" s="7">
        <f t="shared" ref="AS41" si="170">AS26/AS24</f>
        <v>0.39767629636591112</v>
      </c>
      <c r="AT41" s="7">
        <f t="shared" ref="AT41:AU41" si="171">AT26/AT24</f>
        <v>0.51439544964519135</v>
      </c>
      <c r="AU41" s="7">
        <f t="shared" si="171"/>
        <v>0.52015427464260089</v>
      </c>
      <c r="AV41" s="7">
        <f t="shared" ref="AV41:BM41" si="172">AV26/AV24</f>
        <v>0.54915254237288136</v>
      </c>
      <c r="AW41" s="7">
        <f t="shared" si="172"/>
        <v>0.55510465612985904</v>
      </c>
      <c r="AX41" s="7">
        <f t="shared" si="172"/>
        <v>0.56107784431137719</v>
      </c>
      <c r="AY41" s="7">
        <f t="shared" si="172"/>
        <v>0.58798842257597683</v>
      </c>
      <c r="AZ41" s="7">
        <f t="shared" si="172"/>
        <v>0.59934115709285563</v>
      </c>
      <c r="BA41" s="7">
        <f t="shared" si="172"/>
        <v>0.61206896551724133</v>
      </c>
      <c r="BB41" s="7">
        <f t="shared" si="172"/>
        <v>0.61989375343469499</v>
      </c>
      <c r="BC41" s="7">
        <f t="shared" si="172"/>
        <v>0.62344827586206897</v>
      </c>
      <c r="BD41" s="7">
        <f t="shared" si="172"/>
        <v>0.64924014416824583</v>
      </c>
      <c r="BE41" s="7">
        <f t="shared" si="172"/>
        <v>0.56933684249545913</v>
      </c>
      <c r="BF41" s="7">
        <f t="shared" si="172"/>
        <v>0.72717573290436954</v>
      </c>
      <c r="BG41" s="7">
        <f t="shared" si="172"/>
        <v>0.74989463359310937</v>
      </c>
      <c r="BH41" s="7">
        <f t="shared" si="172"/>
        <v>0.76</v>
      </c>
      <c r="BI41" s="7">
        <f t="shared" si="172"/>
        <v>0.78</v>
      </c>
      <c r="BJ41" s="7">
        <f t="shared" si="172"/>
        <v>0.78</v>
      </c>
      <c r="BK41" s="7">
        <f t="shared" si="172"/>
        <v>0.78</v>
      </c>
      <c r="BL41" s="7">
        <f t="shared" si="172"/>
        <v>0.77999999999999992</v>
      </c>
      <c r="BM41" s="7">
        <f t="shared" si="172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3">C22/C24</f>
        <v>0.28558558558558561</v>
      </c>
      <c r="D42" s="7">
        <f t="shared" si="173"/>
        <v>0.25397440868553706</v>
      </c>
      <c r="E42" s="7">
        <f t="shared" si="173"/>
        <v>0.24087591240875914</v>
      </c>
      <c r="F42" s="7">
        <f t="shared" si="173"/>
        <v>0.3117552334943639</v>
      </c>
      <c r="G42" s="7">
        <f t="shared" ref="G42:I42" si="174">G22/G24</f>
        <v>0.37045454545454548</v>
      </c>
      <c r="H42" s="7">
        <f t="shared" si="174"/>
        <v>0.45318158303155714</v>
      </c>
      <c r="I42" s="7">
        <f t="shared" si="174"/>
        <v>0.40203131612357174</v>
      </c>
      <c r="J42" s="7">
        <f t="shared" ref="J42:O42" si="175">J22/J24</f>
        <v>0.38037177693383972</v>
      </c>
      <c r="K42" s="7">
        <f t="shared" si="175"/>
        <v>0.36212683271506801</v>
      </c>
      <c r="L42" s="7">
        <f t="shared" si="175"/>
        <v>0.36360842169970803</v>
      </c>
      <c r="M42" s="7">
        <f t="shared" si="175"/>
        <v>0.41334647332113189</v>
      </c>
      <c r="N42" s="7">
        <f t="shared" si="175"/>
        <v>0.42653408347507521</v>
      </c>
      <c r="O42" s="7">
        <f t="shared" si="175"/>
        <v>0.45246138996138996</v>
      </c>
      <c r="P42" s="7">
        <f t="shared" ref="P42:U42" si="176">P22/P24</f>
        <v>0.56772076372315039</v>
      </c>
      <c r="Q42" s="7">
        <f t="shared" si="176"/>
        <v>0.64626538526386779</v>
      </c>
      <c r="R42" s="7">
        <f t="shared" si="176"/>
        <v>0.59824822343414308</v>
      </c>
      <c r="S42" s="7">
        <f t="shared" si="176"/>
        <v>0.59566184649610676</v>
      </c>
      <c r="T42" s="7">
        <f t="shared" si="176"/>
        <v>0.76427037832235134</v>
      </c>
      <c r="U42" s="7">
        <f t="shared" si="176"/>
        <v>0.80099337748344368</v>
      </c>
      <c r="V42" s="7">
        <f t="shared" ref="V42:AD42" si="177">V22/V24</f>
        <v>0.8326471519703208</v>
      </c>
      <c r="W42" s="7">
        <f>W22/W24</f>
        <v>0.86634157579480875</v>
      </c>
      <c r="X42" s="7">
        <f t="shared" si="177"/>
        <v>0.87456724367509986</v>
      </c>
      <c r="Y42" s="7">
        <f t="shared" si="177"/>
        <v>0.87711646998460746</v>
      </c>
      <c r="Z42" s="7">
        <f t="shared" si="177"/>
        <v>0.90462993567415018</v>
      </c>
      <c r="AA42" s="7">
        <f t="shared" si="177"/>
        <v>0.91639276090017852</v>
      </c>
      <c r="AB42" s="7">
        <f t="shared" si="177"/>
        <v>0.94182641509433951</v>
      </c>
      <c r="AC42" s="7">
        <f t="shared" si="177"/>
        <v>0.86712939036915382</v>
      </c>
      <c r="AD42" s="7">
        <f t="shared" si="177"/>
        <v>0.89225752187134333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5995361.1934512733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8">+L45-L58</f>
        <v>7711</v>
      </c>
      <c r="M44" s="2">
        <f t="shared" si="178"/>
        <v>8354</v>
      </c>
      <c r="N44" s="2">
        <f t="shared" ref="N44:V44" si="179">+N45-N58</f>
        <v>10262</v>
      </c>
      <c r="O44" s="2">
        <f t="shared" si="179"/>
        <v>9391</v>
      </c>
      <c r="P44" s="2">
        <f t="shared" si="179"/>
        <v>6088</v>
      </c>
      <c r="Q44" s="2">
        <f t="shared" si="179"/>
        <v>2193</v>
      </c>
      <c r="R44" s="2">
        <f t="shared" si="179"/>
        <v>2343</v>
      </c>
      <c r="S44" s="2">
        <f t="shared" si="179"/>
        <v>4366</v>
      </c>
      <c r="T44" s="2">
        <f t="shared" si="179"/>
        <v>6318</v>
      </c>
      <c r="U44" s="2">
        <f t="shared" si="179"/>
        <v>8575</v>
      </c>
      <c r="V44" s="2">
        <f t="shared" si="179"/>
        <v>16275</v>
      </c>
      <c r="W44" s="2">
        <f t="shared" ref="W44:AA44" si="180">+W45-W58</f>
        <v>21728</v>
      </c>
      <c r="X44" s="2">
        <f t="shared" si="180"/>
        <v>26339</v>
      </c>
      <c r="Y44" s="2">
        <f t="shared" si="180"/>
        <v>30025</v>
      </c>
      <c r="Z44" s="2">
        <f t="shared" si="180"/>
        <v>34747</v>
      </c>
      <c r="AA44" s="2">
        <f t="shared" si="180"/>
        <v>45227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243.60494061400485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AA45" s="2">
        <f>15234+38457</f>
        <v>53691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AA46" s="2">
        <v>22132</v>
      </c>
      <c r="BC46" s="2">
        <f t="shared" ref="BC46:BC53" si="181">+J46</f>
        <v>2429</v>
      </c>
      <c r="BD46" s="2">
        <f t="shared" ref="BD46:BD53" si="182">+N46</f>
        <v>4650</v>
      </c>
      <c r="BE46" s="2">
        <f t="shared" ref="BE46:BE53" si="183">+R46</f>
        <v>3827</v>
      </c>
      <c r="BF46" s="2">
        <f t="shared" ref="BF46:BF53" si="184">+V46</f>
        <v>9999</v>
      </c>
      <c r="BG46" s="2">
        <f t="shared" ref="BG46:BG53" si="185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AA47" s="2">
        <v>11333</v>
      </c>
      <c r="BC47" s="2">
        <f t="shared" si="181"/>
        <v>1826</v>
      </c>
      <c r="BD47" s="2">
        <f t="shared" si="182"/>
        <v>2605</v>
      </c>
      <c r="BE47" s="2">
        <f t="shared" si="183"/>
        <v>5159</v>
      </c>
      <c r="BF47" s="2">
        <f t="shared" si="184"/>
        <v>5282</v>
      </c>
      <c r="BG47" s="2">
        <f t="shared" si="185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AA48" s="2">
        <v>2779</v>
      </c>
      <c r="BC48" s="2">
        <f t="shared" si="181"/>
        <v>239</v>
      </c>
      <c r="BD48" s="2">
        <f t="shared" si="182"/>
        <v>366</v>
      </c>
      <c r="BE48" s="2">
        <f t="shared" si="183"/>
        <v>791</v>
      </c>
      <c r="BF48" s="2">
        <f t="shared" si="184"/>
        <v>3080</v>
      </c>
      <c r="BG48" s="2">
        <f t="shared" si="185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AA49" s="2">
        <v>7136</v>
      </c>
      <c r="BC49" s="2">
        <f t="shared" si="181"/>
        <v>2149</v>
      </c>
      <c r="BD49" s="2">
        <f t="shared" si="182"/>
        <v>2778</v>
      </c>
      <c r="BE49" s="2">
        <f t="shared" si="183"/>
        <v>3807</v>
      </c>
      <c r="BF49" s="2">
        <f t="shared" si="184"/>
        <v>3914</v>
      </c>
      <c r="BG49" s="2">
        <f t="shared" si="185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AA50" s="2">
        <v>1810</v>
      </c>
      <c r="BC50" s="2">
        <f t="shared" si="181"/>
        <v>707</v>
      </c>
      <c r="BD50" s="2">
        <f t="shared" si="182"/>
        <v>829</v>
      </c>
      <c r="BE50" s="2">
        <f t="shared" si="183"/>
        <v>1038</v>
      </c>
      <c r="BF50" s="2">
        <f t="shared" si="184"/>
        <v>1346</v>
      </c>
      <c r="BG50" s="2">
        <f t="shared" si="185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AA51" s="2">
        <f>5498+769</f>
        <v>6267</v>
      </c>
      <c r="BC51" s="2">
        <f t="shared" si="181"/>
        <v>6930</v>
      </c>
      <c r="BD51" s="2">
        <f t="shared" si="182"/>
        <v>6688</v>
      </c>
      <c r="BE51" s="2">
        <f t="shared" si="183"/>
        <v>6048</v>
      </c>
      <c r="BF51" s="2">
        <f t="shared" si="184"/>
        <v>5542</v>
      </c>
      <c r="BG51" s="2">
        <f t="shared" si="185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AA52" s="2">
        <v>13318</v>
      </c>
      <c r="BC52" s="2">
        <f t="shared" si="181"/>
        <v>806</v>
      </c>
      <c r="BD52" s="2">
        <f t="shared" si="182"/>
        <v>1222</v>
      </c>
      <c r="BE52" s="2">
        <f t="shared" si="183"/>
        <v>3396</v>
      </c>
      <c r="BF52" s="2">
        <f t="shared" si="184"/>
        <v>6081</v>
      </c>
      <c r="BG52" s="2">
        <f t="shared" si="185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AA53" s="2">
        <v>6788</v>
      </c>
      <c r="BC53" s="2">
        <f t="shared" si="181"/>
        <v>2144</v>
      </c>
      <c r="BD53" s="2">
        <f t="shared" si="182"/>
        <v>3841</v>
      </c>
      <c r="BE53" s="2">
        <f t="shared" si="183"/>
        <v>3820</v>
      </c>
      <c r="BF53" s="2">
        <f t="shared" si="184"/>
        <v>4500</v>
      </c>
      <c r="BG53" s="2">
        <f t="shared" si="185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6">SUM(G45:G53)</f>
        <v>23254</v>
      </c>
      <c r="H54" s="2">
        <f t="shared" si="186"/>
        <v>25180</v>
      </c>
      <c r="I54" s="2">
        <f t="shared" si="186"/>
        <v>26881</v>
      </c>
      <c r="J54" s="2">
        <f t="shared" si="186"/>
        <v>28791</v>
      </c>
      <c r="K54" s="2">
        <f t="shared" si="186"/>
        <v>30796</v>
      </c>
      <c r="L54" s="2">
        <f t="shared" si="186"/>
        <v>38650</v>
      </c>
      <c r="M54" s="2">
        <f t="shared" si="186"/>
        <v>40632</v>
      </c>
      <c r="N54" s="2">
        <f t="shared" ref="N54:Q54" si="187">SUM(N45:N53)</f>
        <v>44187</v>
      </c>
      <c r="O54" s="2">
        <f t="shared" si="187"/>
        <v>45212</v>
      </c>
      <c r="P54" s="2">
        <f t="shared" si="187"/>
        <v>43476</v>
      </c>
      <c r="Q54" s="2">
        <f t="shared" si="187"/>
        <v>40488</v>
      </c>
      <c r="R54" s="2">
        <f t="shared" ref="R54:S54" si="188">SUM(R45:R53)</f>
        <v>41182</v>
      </c>
      <c r="S54" s="2">
        <f t="shared" si="188"/>
        <v>44460</v>
      </c>
      <c r="T54" s="2">
        <f t="shared" ref="T54:AA54" si="189">SUM(T45:T53)</f>
        <v>49555</v>
      </c>
      <c r="U54" s="2">
        <f t="shared" si="189"/>
        <v>54148</v>
      </c>
      <c r="V54" s="2">
        <f t="shared" si="189"/>
        <v>65728</v>
      </c>
      <c r="W54" s="2">
        <f t="shared" si="189"/>
        <v>77072</v>
      </c>
      <c r="X54" s="2">
        <f t="shared" si="189"/>
        <v>85227</v>
      </c>
      <c r="Y54" s="2">
        <f t="shared" si="189"/>
        <v>96013</v>
      </c>
      <c r="Z54" s="2">
        <f t="shared" si="189"/>
        <v>111601</v>
      </c>
      <c r="AA54" s="2">
        <f t="shared" si="189"/>
        <v>125254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AA56" s="2">
        <v>7331</v>
      </c>
      <c r="BC56" s="2">
        <f t="shared" ref="BC56:BC61" si="190">+J56</f>
        <v>1201</v>
      </c>
      <c r="BD56" s="2">
        <f t="shared" ref="BD56:BD61" si="191">+N56</f>
        <v>1783</v>
      </c>
      <c r="BE56" s="2">
        <f t="shared" ref="BE56:BE61" si="192">+R56</f>
        <v>1193</v>
      </c>
      <c r="BF56" s="2">
        <f t="shared" ref="BF56:BF61" si="193">+V56</f>
        <v>2699</v>
      </c>
      <c r="BG56" s="2">
        <f t="shared" ref="BG56:BG61" si="194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AA57" s="2">
        <v>19211</v>
      </c>
      <c r="BC57" s="2">
        <f t="shared" si="190"/>
        <v>1725</v>
      </c>
      <c r="BD57" s="2">
        <f t="shared" si="191"/>
        <v>2552</v>
      </c>
      <c r="BE57" s="2">
        <f t="shared" si="192"/>
        <v>4120</v>
      </c>
      <c r="BF57" s="2">
        <f t="shared" si="193"/>
        <v>6682</v>
      </c>
      <c r="BG57" s="2">
        <f t="shared" si="194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AA58" s="2">
        <v>8464</v>
      </c>
      <c r="BC58" s="2">
        <f t="shared" si="190"/>
        <v>6963</v>
      </c>
      <c r="BD58" s="2">
        <f t="shared" si="191"/>
        <v>10946</v>
      </c>
      <c r="BE58" s="2">
        <f t="shared" si="192"/>
        <v>10953</v>
      </c>
      <c r="BF58" s="2">
        <f t="shared" si="193"/>
        <v>9709</v>
      </c>
      <c r="BG58" s="2">
        <f t="shared" si="194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AA59" s="2">
        <v>1521</v>
      </c>
      <c r="BC59" s="2">
        <f t="shared" si="190"/>
        <v>634</v>
      </c>
      <c r="BD59" s="2">
        <f t="shared" si="191"/>
        <v>741</v>
      </c>
      <c r="BE59" s="2">
        <f t="shared" si="192"/>
        <v>902</v>
      </c>
      <c r="BF59" s="2">
        <f t="shared" si="193"/>
        <v>1119</v>
      </c>
      <c r="BG59" s="2">
        <f t="shared" si="194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AA60" s="2">
        <v>4884</v>
      </c>
      <c r="BC60" s="2">
        <f t="shared" si="190"/>
        <v>1375</v>
      </c>
      <c r="BD60" s="2">
        <f t="shared" si="191"/>
        <v>1553</v>
      </c>
      <c r="BE60" s="2">
        <f t="shared" si="192"/>
        <v>1913</v>
      </c>
      <c r="BF60" s="2">
        <f t="shared" si="193"/>
        <v>2541</v>
      </c>
      <c r="BG60" s="2">
        <f t="shared" si="194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AA61" s="2">
        <v>83843</v>
      </c>
      <c r="BC61" s="2">
        <f t="shared" si="190"/>
        <v>16893</v>
      </c>
      <c r="BD61" s="2">
        <f t="shared" si="191"/>
        <v>26612</v>
      </c>
      <c r="BE61" s="2">
        <f t="shared" si="192"/>
        <v>22101</v>
      </c>
      <c r="BF61" s="2">
        <f t="shared" si="193"/>
        <v>42978</v>
      </c>
      <c r="BG61" s="2">
        <f t="shared" si="194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5">SUM(F56:F61)</f>
        <v>0</v>
      </c>
      <c r="G62" s="2">
        <f t="shared" ref="G62:M62" si="196">SUM(G56:G61)</f>
        <v>23254</v>
      </c>
      <c r="H62" s="2">
        <f t="shared" si="196"/>
        <v>25180</v>
      </c>
      <c r="I62" s="2">
        <f t="shared" si="196"/>
        <v>26881</v>
      </c>
      <c r="J62" s="2">
        <f t="shared" si="196"/>
        <v>28791</v>
      </c>
      <c r="K62" s="2">
        <f t="shared" si="196"/>
        <v>30796</v>
      </c>
      <c r="L62" s="2">
        <f t="shared" si="196"/>
        <v>38650</v>
      </c>
      <c r="M62" s="2">
        <f t="shared" si="196"/>
        <v>40632</v>
      </c>
      <c r="N62" s="2">
        <f t="shared" ref="N62:Q62" si="197">SUM(N56:N61)</f>
        <v>44187</v>
      </c>
      <c r="O62" s="2">
        <f t="shared" si="197"/>
        <v>45212</v>
      </c>
      <c r="P62" s="2">
        <f t="shared" si="197"/>
        <v>43476</v>
      </c>
      <c r="Q62" s="2">
        <f t="shared" si="197"/>
        <v>40488</v>
      </c>
      <c r="R62" s="2">
        <f t="shared" ref="R62:S62" si="198">SUM(R56:R61)</f>
        <v>41182</v>
      </c>
      <c r="S62" s="2">
        <f t="shared" si="198"/>
        <v>44460</v>
      </c>
      <c r="T62" s="2">
        <f t="shared" ref="T62:AA62" si="199">SUM(T56:T61)</f>
        <v>49555</v>
      </c>
      <c r="U62" s="2">
        <f t="shared" si="199"/>
        <v>54148</v>
      </c>
      <c r="V62" s="2">
        <f t="shared" si="199"/>
        <v>65728</v>
      </c>
      <c r="W62" s="2">
        <f t="shared" si="199"/>
        <v>77072</v>
      </c>
      <c r="X62" s="2">
        <f t="shared" si="199"/>
        <v>85227</v>
      </c>
      <c r="Y62" s="2">
        <f t="shared" si="199"/>
        <v>96013</v>
      </c>
      <c r="Z62" s="2">
        <f t="shared" si="199"/>
        <v>111601</v>
      </c>
      <c r="AA62" s="2">
        <f t="shared" si="199"/>
        <v>125254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200">F34</f>
        <v>951</v>
      </c>
      <c r="G64" s="5">
        <f t="shared" si="200"/>
        <v>917</v>
      </c>
      <c r="H64" s="5">
        <f t="shared" si="200"/>
        <v>622</v>
      </c>
      <c r="I64" s="5">
        <f t="shared" si="200"/>
        <v>1336</v>
      </c>
      <c r="J64" s="5">
        <f t="shared" si="200"/>
        <v>1457</v>
      </c>
      <c r="K64" s="5">
        <f t="shared" si="200"/>
        <v>1912</v>
      </c>
      <c r="L64" s="5">
        <f t="shared" ref="L64:R64" si="201">L34</f>
        <v>2374</v>
      </c>
      <c r="M64" s="5">
        <f t="shared" si="201"/>
        <v>2464</v>
      </c>
      <c r="N64" s="5">
        <f t="shared" si="201"/>
        <v>3003</v>
      </c>
      <c r="O64" s="5">
        <f t="shared" si="201"/>
        <v>2971</v>
      </c>
      <c r="P64" s="5">
        <f t="shared" si="201"/>
        <v>656</v>
      </c>
      <c r="Q64" s="5">
        <f t="shared" si="201"/>
        <v>680</v>
      </c>
      <c r="R64" s="5">
        <f t="shared" si="201"/>
        <v>1227</v>
      </c>
      <c r="S64" s="5">
        <f t="shared" ref="S64:AA64" si="202">S34</f>
        <v>2043</v>
      </c>
      <c r="T64" s="5">
        <f t="shared" si="202"/>
        <v>6188</v>
      </c>
      <c r="U64" s="5">
        <f t="shared" si="202"/>
        <v>9243</v>
      </c>
      <c r="V64" s="5">
        <f t="shared" si="202"/>
        <v>12285</v>
      </c>
      <c r="W64" s="5">
        <f t="shared" si="202"/>
        <v>14881</v>
      </c>
      <c r="X64" s="5">
        <f t="shared" si="202"/>
        <v>16599</v>
      </c>
      <c r="Y64" s="5">
        <f t="shared" si="202"/>
        <v>19309</v>
      </c>
      <c r="Z64" s="5">
        <f t="shared" si="202"/>
        <v>22091</v>
      </c>
      <c r="AA64" s="5">
        <f t="shared" si="202"/>
        <v>26068.535419999993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A65" s="2">
        <v>18775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3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4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3"/>
        <v>0</v>
      </c>
      <c r="BE66" s="2">
        <f t="shared" ref="BE66:BE72" si="205">SUM(O66:R66)</f>
        <v>1353</v>
      </c>
      <c r="BF66" s="2">
        <f t="shared" ref="BF66:BF72" si="206">SUM(S66:V66)</f>
        <v>0</v>
      </c>
      <c r="BG66" s="2">
        <f t="shared" ref="BG66:BG72" si="207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4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AA67" s="2">
        <v>1474</v>
      </c>
      <c r="BA67" s="2">
        <v>557</v>
      </c>
      <c r="BB67" s="2">
        <v>844</v>
      </c>
      <c r="BC67" s="2">
        <v>1397</v>
      </c>
      <c r="BD67" s="2">
        <f t="shared" si="203"/>
        <v>2004</v>
      </c>
      <c r="BE67" s="2">
        <f t="shared" si="205"/>
        <v>2709</v>
      </c>
      <c r="BF67" s="2">
        <f t="shared" si="206"/>
        <v>3549</v>
      </c>
      <c r="BG67" s="2">
        <f t="shared" si="207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4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AA68" s="2">
        <v>611</v>
      </c>
      <c r="BA68" s="2">
        <v>262</v>
      </c>
      <c r="BB68" s="2">
        <v>381</v>
      </c>
      <c r="BC68" s="2">
        <v>1098</v>
      </c>
      <c r="BD68" s="2">
        <f t="shared" si="203"/>
        <v>1174</v>
      </c>
      <c r="BE68" s="2">
        <f t="shared" si="205"/>
        <v>1544</v>
      </c>
      <c r="BF68" s="2">
        <f t="shared" si="206"/>
        <v>1508</v>
      </c>
      <c r="BG68" s="2">
        <f t="shared" si="207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4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AA69" s="2">
        <v>175</v>
      </c>
      <c r="BA69" s="2">
        <v>0</v>
      </c>
      <c r="BB69" s="2">
        <v>0</v>
      </c>
      <c r="BC69" s="2">
        <v>0</v>
      </c>
      <c r="BD69" s="2">
        <f t="shared" si="203"/>
        <v>-100</v>
      </c>
      <c r="BE69" s="2">
        <f t="shared" si="205"/>
        <v>45</v>
      </c>
      <c r="BF69" s="2">
        <f t="shared" si="206"/>
        <v>-238</v>
      </c>
      <c r="BG69" s="2">
        <f t="shared" si="207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4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AA70" s="2">
        <v>-2177</v>
      </c>
      <c r="BA70" s="2">
        <v>-315</v>
      </c>
      <c r="BB70" s="2">
        <v>18</v>
      </c>
      <c r="BC70" s="2">
        <v>-282</v>
      </c>
      <c r="BD70" s="2">
        <f t="shared" si="203"/>
        <v>-406</v>
      </c>
      <c r="BE70" s="2">
        <f t="shared" si="205"/>
        <v>-2164</v>
      </c>
      <c r="BF70" s="2">
        <f t="shared" si="206"/>
        <v>-2489</v>
      </c>
      <c r="BG70" s="2">
        <f t="shared" si="207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4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AA71" s="2">
        <v>-98</v>
      </c>
      <c r="BA71" s="2">
        <v>-45</v>
      </c>
      <c r="BB71" s="2">
        <v>5</v>
      </c>
      <c r="BC71" s="2">
        <v>-20</v>
      </c>
      <c r="BD71" s="2">
        <f t="shared" si="203"/>
        <v>47</v>
      </c>
      <c r="BE71" s="2">
        <f t="shared" si="205"/>
        <v>-7</v>
      </c>
      <c r="BF71" s="2">
        <f t="shared" si="206"/>
        <v>-278</v>
      </c>
      <c r="BG71" s="2">
        <f t="shared" si="207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4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AA72" s="2">
        <f>933-1258+560+941+7128+350</f>
        <v>8654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3"/>
        <v>-3363</v>
      </c>
      <c r="BE72" s="2">
        <f t="shared" si="205"/>
        <v>-2207</v>
      </c>
      <c r="BF72" s="2">
        <f t="shared" si="206"/>
        <v>-3722</v>
      </c>
      <c r="BG72" s="2">
        <f t="shared" si="207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AA73" si="208">SUM(G65:G72)</f>
        <v>909</v>
      </c>
      <c r="H73" s="5">
        <f t="shared" si="208"/>
        <v>1567</v>
      </c>
      <c r="I73" s="5">
        <f t="shared" si="208"/>
        <v>1279</v>
      </c>
      <c r="J73" s="5">
        <f t="shared" si="208"/>
        <v>2067</v>
      </c>
      <c r="K73" s="5">
        <f t="shared" si="208"/>
        <v>1874</v>
      </c>
      <c r="L73" s="5">
        <f t="shared" si="208"/>
        <v>2682</v>
      </c>
      <c r="M73" s="5">
        <f t="shared" si="208"/>
        <v>1519</v>
      </c>
      <c r="N73" s="5">
        <f t="shared" si="208"/>
        <v>3033</v>
      </c>
      <c r="O73" s="5">
        <f t="shared" si="208"/>
        <v>1731</v>
      </c>
      <c r="P73" s="5">
        <f t="shared" si="208"/>
        <v>1270</v>
      </c>
      <c r="Q73" s="5">
        <f t="shared" si="208"/>
        <v>392</v>
      </c>
      <c r="R73" s="5">
        <f t="shared" si="208"/>
        <v>2248</v>
      </c>
      <c r="S73" s="5">
        <f t="shared" si="208"/>
        <v>2911</v>
      </c>
      <c r="T73" s="5">
        <f t="shared" si="208"/>
        <v>6348</v>
      </c>
      <c r="U73" s="5">
        <f t="shared" si="208"/>
        <v>7332</v>
      </c>
      <c r="V73" s="5">
        <f t="shared" si="208"/>
        <v>11499</v>
      </c>
      <c r="W73" s="5">
        <f t="shared" si="208"/>
        <v>15345</v>
      </c>
      <c r="X73" s="5">
        <f t="shared" si="208"/>
        <v>14488</v>
      </c>
      <c r="Y73" s="5">
        <f t="shared" si="208"/>
        <v>17627</v>
      </c>
      <c r="Z73" s="5">
        <f t="shared" si="208"/>
        <v>16628</v>
      </c>
      <c r="AA73" s="5">
        <f t="shared" si="208"/>
        <v>27414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09">SUM(BA65:BA72)</f>
        <v>3743</v>
      </c>
      <c r="BB73" s="2">
        <f t="shared" si="209"/>
        <v>4761</v>
      </c>
      <c r="BC73" s="2">
        <f t="shared" si="209"/>
        <v>5822</v>
      </c>
      <c r="BD73" s="2">
        <f t="shared" si="209"/>
        <v>9108</v>
      </c>
      <c r="BE73" s="2">
        <f t="shared" si="209"/>
        <v>5641</v>
      </c>
      <c r="BF73" s="2">
        <f t="shared" si="209"/>
        <v>28090</v>
      </c>
      <c r="BG73" s="2">
        <f t="shared" si="209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10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AA75" s="2">
        <f>3122+467-6546-649</f>
        <v>-3606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11">SUM(O75:R75)</f>
        <v>9257</v>
      </c>
      <c r="BF75" s="2">
        <f t="shared" ref="BF75:BF80" si="212">SUM(S75:V75)</f>
        <v>-9414</v>
      </c>
      <c r="BG75" s="2">
        <f t="shared" ref="BG75:BG80" si="213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10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AA76" s="2">
        <v>-1227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11"/>
        <v>-1833</v>
      </c>
      <c r="BF76" s="2">
        <f t="shared" si="212"/>
        <v>-1069</v>
      </c>
      <c r="BG76" s="2">
        <f t="shared" si="213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10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AA77" s="2">
        <v>-383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11"/>
        <v>-49</v>
      </c>
      <c r="BF77" s="2">
        <f t="shared" si="212"/>
        <v>-83</v>
      </c>
      <c r="BG77" s="2">
        <f t="shared" si="213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4">SUM(G75:G77)</f>
        <v>-1055</v>
      </c>
      <c r="H78" s="5">
        <f t="shared" si="214"/>
        <v>-13490</v>
      </c>
      <c r="I78" s="5">
        <f t="shared" si="214"/>
        <v>-2001</v>
      </c>
      <c r="J78" s="5">
        <f t="shared" si="214"/>
        <v>-3129</v>
      </c>
      <c r="K78" s="5">
        <f t="shared" si="214"/>
        <v>-1272</v>
      </c>
      <c r="L78" s="5">
        <f t="shared" si="214"/>
        <v>-2533</v>
      </c>
      <c r="M78" s="5">
        <f t="shared" si="214"/>
        <v>-4439</v>
      </c>
      <c r="N78" s="5">
        <f t="shared" si="214"/>
        <v>-1586</v>
      </c>
      <c r="O78" s="5">
        <f t="shared" ref="O78:S78" si="215">SUM(O75:O77)</f>
        <v>2612</v>
      </c>
      <c r="P78" s="5">
        <f t="shared" si="215"/>
        <v>1618</v>
      </c>
      <c r="Q78" s="5">
        <f t="shared" si="215"/>
        <v>3148</v>
      </c>
      <c r="R78" s="5">
        <f t="shared" si="215"/>
        <v>-3</v>
      </c>
      <c r="S78" s="5">
        <f t="shared" si="215"/>
        <v>-841</v>
      </c>
      <c r="T78" s="5">
        <f t="shared" ref="T78:AA78" si="216">SUM(T75:T77)</f>
        <v>-446</v>
      </c>
      <c r="U78" s="5">
        <f t="shared" si="216"/>
        <v>-3170</v>
      </c>
      <c r="V78" s="5">
        <f t="shared" si="216"/>
        <v>-6109</v>
      </c>
      <c r="W78" s="5">
        <f t="shared" si="216"/>
        <v>-5693</v>
      </c>
      <c r="X78" s="5">
        <f t="shared" si="216"/>
        <v>-3184</v>
      </c>
      <c r="Y78" s="5">
        <f t="shared" si="216"/>
        <v>-4346</v>
      </c>
      <c r="Z78" s="5">
        <f t="shared" si="216"/>
        <v>-7198</v>
      </c>
      <c r="AA78" s="5">
        <f t="shared" si="216"/>
        <v>-5216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7">SUM(BA75:BA77)</f>
        <v>-4097</v>
      </c>
      <c r="BB78" s="2">
        <f t="shared" si="217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8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AA80" s="2">
        <v>370</v>
      </c>
      <c r="BA80" s="2">
        <v>137</v>
      </c>
      <c r="BB80" s="2">
        <v>149</v>
      </c>
      <c r="BC80" s="2">
        <v>194</v>
      </c>
      <c r="BD80" s="2">
        <f t="shared" ref="BD80:BD85" si="219">SUM(K80:N80)</f>
        <v>281</v>
      </c>
      <c r="BE80" s="2">
        <f t="shared" ref="BE80:BE85" si="220">SUM(O80:R80)</f>
        <v>355</v>
      </c>
      <c r="BF80" s="2">
        <f t="shared" si="212"/>
        <v>403</v>
      </c>
      <c r="BG80" s="2">
        <f t="shared" si="213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8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AA81" s="2">
        <v>-1532</v>
      </c>
      <c r="BA81" s="2">
        <v>-1032</v>
      </c>
      <c r="BB81" s="2">
        <v>-551</v>
      </c>
      <c r="BC81" s="2">
        <v>-942</v>
      </c>
      <c r="BD81" s="2">
        <f t="shared" si="219"/>
        <v>-1904</v>
      </c>
      <c r="BE81" s="2">
        <f t="shared" si="220"/>
        <v>-1475</v>
      </c>
      <c r="BF81" s="2">
        <f t="shared" ref="BF81:BF85" si="221">SUM(S81:V81)</f>
        <v>-2783</v>
      </c>
      <c r="BG81" s="2">
        <f t="shared" ref="BG81:BG85" si="222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8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AA82" s="2">
        <v>-244</v>
      </c>
      <c r="BA82" s="2">
        <v>-371</v>
      </c>
      <c r="BB82" s="2">
        <v>-390</v>
      </c>
      <c r="BC82" s="2">
        <v>-395</v>
      </c>
      <c r="BD82" s="2">
        <f t="shared" si="219"/>
        <v>-399</v>
      </c>
      <c r="BE82" s="2">
        <f t="shared" si="220"/>
        <v>-398</v>
      </c>
      <c r="BF82" s="2">
        <f t="shared" si="221"/>
        <v>-395</v>
      </c>
      <c r="BG82" s="2">
        <f t="shared" si="222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8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AA83" s="2">
        <v>-14095</v>
      </c>
      <c r="BA83" s="2">
        <v>-1579</v>
      </c>
      <c r="BB83" s="2">
        <v>0</v>
      </c>
      <c r="BC83" s="2">
        <v>0</v>
      </c>
      <c r="BD83" s="2">
        <f t="shared" si="219"/>
        <v>0</v>
      </c>
      <c r="BE83" s="2">
        <f t="shared" si="220"/>
        <v>-10039</v>
      </c>
      <c r="BF83" s="2">
        <f t="shared" si="221"/>
        <v>-9533</v>
      </c>
      <c r="BG83" s="2">
        <f t="shared" si="222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8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AA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19"/>
        <v>3977</v>
      </c>
      <c r="BE84" s="2">
        <f t="shared" si="220"/>
        <v>-2</v>
      </c>
      <c r="BF84" s="2">
        <f t="shared" si="221"/>
        <v>-1250</v>
      </c>
      <c r="BG84" s="2">
        <f t="shared" si="222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8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AA85" s="2">
        <v>-52</v>
      </c>
      <c r="BA85" s="2">
        <v>0</v>
      </c>
      <c r="BB85" s="2">
        <v>0</v>
      </c>
      <c r="BC85" s="2">
        <v>-17</v>
      </c>
      <c r="BD85" s="2">
        <f t="shared" si="219"/>
        <v>-90</v>
      </c>
      <c r="BE85" s="2">
        <f t="shared" si="220"/>
        <v>-58</v>
      </c>
      <c r="BF85" s="2">
        <f t="shared" si="221"/>
        <v>-74</v>
      </c>
      <c r="BG85" s="2">
        <f t="shared" si="222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3">SUM(G80:G85)</f>
        <v>4744</v>
      </c>
      <c r="H86" s="5">
        <f t="shared" si="223"/>
        <v>-297</v>
      </c>
      <c r="I86" s="5">
        <f t="shared" si="223"/>
        <v>-301</v>
      </c>
      <c r="J86" s="5">
        <f t="shared" si="223"/>
        <v>-342</v>
      </c>
      <c r="K86" s="5">
        <f t="shared" si="223"/>
        <v>-471</v>
      </c>
      <c r="L86" s="5">
        <f t="shared" si="223"/>
        <v>4501</v>
      </c>
      <c r="M86" s="5">
        <f t="shared" si="223"/>
        <v>-1420</v>
      </c>
      <c r="N86" s="5">
        <f t="shared" si="223"/>
        <v>-745</v>
      </c>
      <c r="O86" s="5">
        <f t="shared" ref="O86:S86" si="224">SUM(O80:O85)</f>
        <v>-2446</v>
      </c>
      <c r="P86" s="5">
        <f t="shared" si="224"/>
        <v>-3762</v>
      </c>
      <c r="Q86" s="5">
        <f t="shared" si="224"/>
        <v>-3753</v>
      </c>
      <c r="R86" s="5">
        <f t="shared" si="224"/>
        <v>-1656</v>
      </c>
      <c r="S86" s="5">
        <f t="shared" si="224"/>
        <v>-380</v>
      </c>
      <c r="T86" s="5">
        <f t="shared" ref="T86:AA86" si="225">SUM(T80:T85)</f>
        <v>-5099</v>
      </c>
      <c r="U86" s="5">
        <f t="shared" si="225"/>
        <v>-4524</v>
      </c>
      <c r="V86" s="5">
        <f t="shared" si="225"/>
        <v>-3629</v>
      </c>
      <c r="W86" s="5">
        <f t="shared" si="225"/>
        <v>-9345</v>
      </c>
      <c r="X86" s="5">
        <f t="shared" si="225"/>
        <v>-10320</v>
      </c>
      <c r="Y86" s="5">
        <f t="shared" si="225"/>
        <v>-12745</v>
      </c>
      <c r="Z86" s="5">
        <f t="shared" si="225"/>
        <v>-9948</v>
      </c>
      <c r="AA86" s="5">
        <f t="shared" si="225"/>
        <v>-15553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6">SUM(BA80:BA85)</f>
        <v>-2866</v>
      </c>
      <c r="BB86" s="2">
        <f t="shared" si="226"/>
        <v>-792</v>
      </c>
      <c r="BC86" s="2">
        <f t="shared" si="226"/>
        <v>3804</v>
      </c>
      <c r="BD86" s="2">
        <f t="shared" si="226"/>
        <v>1865</v>
      </c>
      <c r="BE86" s="2">
        <f t="shared" si="226"/>
        <v>-11617</v>
      </c>
      <c r="BF86" s="2">
        <f t="shared" si="226"/>
        <v>-13632</v>
      </c>
      <c r="BG86" s="2">
        <f t="shared" si="226"/>
        <v>-42358</v>
      </c>
    </row>
    <row r="87" spans="2:69" x14ac:dyDescent="0.25">
      <c r="B87" t="s">
        <v>63</v>
      </c>
      <c r="F87" s="5"/>
      <c r="G87" s="5">
        <f t="shared" ref="G87:N87" si="227">G86+G78+G73</f>
        <v>4598</v>
      </c>
      <c r="H87" s="5">
        <f t="shared" si="227"/>
        <v>-12220</v>
      </c>
      <c r="I87" s="5">
        <f t="shared" si="227"/>
        <v>-1023</v>
      </c>
      <c r="J87" s="5">
        <f t="shared" si="227"/>
        <v>-1404</v>
      </c>
      <c r="K87" s="5">
        <f t="shared" si="227"/>
        <v>131</v>
      </c>
      <c r="L87" s="5">
        <f t="shared" si="227"/>
        <v>4650</v>
      </c>
      <c r="M87" s="5">
        <f t="shared" si="227"/>
        <v>-4340</v>
      </c>
      <c r="N87" s="5">
        <f t="shared" si="227"/>
        <v>702</v>
      </c>
      <c r="O87" s="5">
        <f t="shared" ref="O87:R87" si="228">O86+O78+O73</f>
        <v>1897</v>
      </c>
      <c r="P87" s="5">
        <f t="shared" si="228"/>
        <v>-874</v>
      </c>
      <c r="Q87" s="5">
        <f t="shared" si="228"/>
        <v>-213</v>
      </c>
      <c r="R87" s="5">
        <f t="shared" si="228"/>
        <v>589</v>
      </c>
      <c r="S87" s="5">
        <f t="shared" ref="S87:AA87" si="229">S86+S78+S73</f>
        <v>1690</v>
      </c>
      <c r="T87" s="5">
        <f t="shared" si="229"/>
        <v>803</v>
      </c>
      <c r="U87" s="5">
        <f t="shared" si="229"/>
        <v>-362</v>
      </c>
      <c r="V87" s="5">
        <f t="shared" si="229"/>
        <v>1761</v>
      </c>
      <c r="W87" s="5">
        <f t="shared" si="229"/>
        <v>307</v>
      </c>
      <c r="X87" s="5">
        <f t="shared" si="229"/>
        <v>984</v>
      </c>
      <c r="Y87" s="5">
        <f t="shared" si="229"/>
        <v>536</v>
      </c>
      <c r="Z87" s="5">
        <f t="shared" si="229"/>
        <v>-518</v>
      </c>
      <c r="AA87" s="5">
        <f t="shared" si="229"/>
        <v>6645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30">BB86+BB78+BB73</f>
        <v>10114</v>
      </c>
      <c r="BC87" s="5">
        <f t="shared" si="230"/>
        <v>-10049</v>
      </c>
      <c r="BD87" s="5">
        <f t="shared" si="230"/>
        <v>1143</v>
      </c>
      <c r="BE87" s="5">
        <f t="shared" si="230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31">(G46/G24)*90</f>
        <v>55.72402597402597</v>
      </c>
      <c r="H89" s="5">
        <f t="shared" si="231"/>
        <v>48.51526125193999</v>
      </c>
      <c r="I89" s="5">
        <f t="shared" si="231"/>
        <v>48.484976724502751</v>
      </c>
      <c r="J89" s="5">
        <f t="shared" si="231"/>
        <v>43.695782530481715</v>
      </c>
      <c r="K89" s="5">
        <f t="shared" si="231"/>
        <v>48.076311605723369</v>
      </c>
      <c r="L89" s="5">
        <f t="shared" si="231"/>
        <v>49.598893499308438</v>
      </c>
      <c r="M89" s="5">
        <f t="shared" si="231"/>
        <v>50.099957764324934</v>
      </c>
      <c r="N89" s="5">
        <f t="shared" si="231"/>
        <v>54.755985869423007</v>
      </c>
      <c r="O89" s="5">
        <f t="shared" ref="O89:AA89" si="232">(O46/O24)*90</f>
        <v>59.051640926640928</v>
      </c>
      <c r="P89" s="5">
        <f t="shared" si="232"/>
        <v>71.379773269689736</v>
      </c>
      <c r="Q89" s="5">
        <f t="shared" si="232"/>
        <v>74.476479514415786</v>
      </c>
      <c r="R89" s="5">
        <f t="shared" si="232"/>
        <v>56.921170054536439</v>
      </c>
      <c r="S89" s="5">
        <f t="shared" si="232"/>
        <v>51.056729699666299</v>
      </c>
      <c r="T89" s="5">
        <f t="shared" si="232"/>
        <v>47.082253646257499</v>
      </c>
      <c r="U89" s="5">
        <f t="shared" si="232"/>
        <v>41.269867549668874</v>
      </c>
      <c r="V89" s="5">
        <f t="shared" si="232"/>
        <v>40.714382662986928</v>
      </c>
      <c r="W89" s="5">
        <f t="shared" si="232"/>
        <v>42.729611426816156</v>
      </c>
      <c r="X89" s="5">
        <f t="shared" si="232"/>
        <v>42.339547270306255</v>
      </c>
      <c r="Y89" s="5">
        <f t="shared" si="232"/>
        <v>45.389943560800411</v>
      </c>
      <c r="Z89" s="5">
        <f t="shared" si="232"/>
        <v>52.778978413973704</v>
      </c>
      <c r="AA89" s="5">
        <f t="shared" si="232"/>
        <v>44.944388122684813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3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3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3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3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3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3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3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3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3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3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3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3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3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3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3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3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3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3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3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4">SUM(V96:V115)</f>
        <v>460</v>
      </c>
      <c r="W116" s="9">
        <f t="shared" si="234"/>
        <v>570</v>
      </c>
      <c r="X116" s="9">
        <f t="shared" si="234"/>
        <v>690</v>
      </c>
      <c r="Y116" s="9">
        <f t="shared" si="234"/>
        <v>735</v>
      </c>
      <c r="Z116" s="9">
        <f t="shared" si="234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1</v>
      </c>
      <c r="S123" s="2">
        <f t="shared" ref="S123:X123" si="235">S24</f>
        <v>7192</v>
      </c>
      <c r="T123" s="2">
        <f t="shared" si="235"/>
        <v>13507</v>
      </c>
      <c r="U123" s="2">
        <f t="shared" si="235"/>
        <v>18120</v>
      </c>
      <c r="V123" s="2">
        <f t="shared" si="235"/>
        <v>22103</v>
      </c>
      <c r="W123" s="2">
        <f t="shared" si="235"/>
        <v>26044</v>
      </c>
      <c r="X123" s="2">
        <f t="shared" si="235"/>
        <v>30040</v>
      </c>
      <c r="Y123" s="2">
        <f>Y24</f>
        <v>35082</v>
      </c>
      <c r="Z123" s="2">
        <f>Z24</f>
        <v>39331</v>
      </c>
      <c r="AA123" s="2">
        <f>+AA125*0.5</f>
        <v>44318.77</v>
      </c>
      <c r="AB123" s="2">
        <f>+AB125*0.5</f>
        <v>46941.600000000006</v>
      </c>
      <c r="AC123" s="2">
        <f>+AC125*0.5</f>
        <v>49680.475000000006</v>
      </c>
      <c r="AD123" s="2">
        <f>+AD125*0.5</f>
        <v>59814.570000000007</v>
      </c>
    </row>
    <row r="124" spans="2:59" x14ac:dyDescent="0.25">
      <c r="B124" t="s">
        <v>22</v>
      </c>
      <c r="S124" s="5">
        <f>S22</f>
        <v>4284</v>
      </c>
      <c r="T124" s="5">
        <f t="shared" ref="T124:Z124" si="236">T22</f>
        <v>10323</v>
      </c>
      <c r="U124" s="5">
        <f t="shared" si="236"/>
        <v>14514</v>
      </c>
      <c r="V124" s="5">
        <f t="shared" si="236"/>
        <v>18404</v>
      </c>
      <c r="W124" s="5">
        <f t="shared" si="236"/>
        <v>22563</v>
      </c>
      <c r="X124" s="5">
        <f t="shared" si="236"/>
        <v>26272</v>
      </c>
      <c r="Y124" s="5">
        <f t="shared" si="236"/>
        <v>30771</v>
      </c>
      <c r="Z124" s="5">
        <f t="shared" si="236"/>
        <v>35580</v>
      </c>
      <c r="AA124" s="5">
        <f>+AA125*0.45</f>
        <v>39886.892999999996</v>
      </c>
      <c r="AB124" s="5">
        <f>+AB125*0.45</f>
        <v>42247.44000000001</v>
      </c>
      <c r="AC124" s="5">
        <f>+AC125*0.45</f>
        <v>44712.427500000005</v>
      </c>
      <c r="AD124" s="5">
        <f>+AD125*0.45</f>
        <v>53833.113000000005</v>
      </c>
    </row>
    <row r="125" spans="2:59" s="11" customFormat="1" ht="13" x14ac:dyDescent="0.3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237">SUM(T126:T134)</f>
        <v>39615.238095238092</v>
      </c>
      <c r="U125" s="8">
        <f t="shared" si="237"/>
        <v>41142.238095238092</v>
      </c>
      <c r="V125" s="8">
        <f t="shared" si="237"/>
        <v>46004.238095238092</v>
      </c>
      <c r="W125" s="8">
        <f t="shared" si="237"/>
        <v>50584.571428571428</v>
      </c>
      <c r="X125" s="8">
        <f t="shared" si="237"/>
        <v>62022.571428571428</v>
      </c>
      <c r="Y125" s="8">
        <f t="shared" si="237"/>
        <v>68837</v>
      </c>
      <c r="Z125" s="8">
        <f t="shared" si="237"/>
        <v>82314</v>
      </c>
      <c r="AA125" s="8">
        <f t="shared" si="237"/>
        <v>88637.54</v>
      </c>
      <c r="AB125" s="8">
        <f t="shared" si="237"/>
        <v>93883.200000000012</v>
      </c>
      <c r="AC125" s="8">
        <f t="shared" si="237"/>
        <v>99360.950000000012</v>
      </c>
      <c r="AD125" s="8">
        <f t="shared" si="237"/>
        <v>119629.14000000001</v>
      </c>
    </row>
    <row r="126" spans="2:59" s="2" customFormat="1" x14ac:dyDescent="0.25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59" s="2" customFormat="1" x14ac:dyDescent="0.25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59" s="2" customFormat="1" x14ac:dyDescent="0.25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59" x14ac:dyDescent="0.25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59" x14ac:dyDescent="0.25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59" x14ac:dyDescent="0.25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59" x14ac:dyDescent="0.25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v>1407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59" x14ac:dyDescent="0.25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59" x14ac:dyDescent="0.25">
      <c r="B134" t="s">
        <v>204</v>
      </c>
      <c r="AA134" s="2">
        <v>1000</v>
      </c>
      <c r="AB134" s="2">
        <v>1000</v>
      </c>
      <c r="AC134" s="2">
        <v>1000</v>
      </c>
      <c r="AD134" s="2">
        <v>1000</v>
      </c>
    </row>
    <row r="136" spans="2:59" x14ac:dyDescent="0.25">
      <c r="B136" t="s">
        <v>205</v>
      </c>
      <c r="S136" s="7">
        <f>+S124/S125</f>
        <v>0.11825900409734245</v>
      </c>
      <c r="T136" s="7">
        <f t="shared" ref="T136:AA136" si="238">+T124/T125</f>
        <v>0.26058154630252911</v>
      </c>
      <c r="U136" s="7">
        <f t="shared" si="238"/>
        <v>0.35277614130768176</v>
      </c>
      <c r="V136" s="7">
        <f t="shared" si="238"/>
        <v>0.40005009890393123</v>
      </c>
      <c r="W136" s="7">
        <f t="shared" si="238"/>
        <v>0.44604509562486588</v>
      </c>
      <c r="X136" s="7">
        <f t="shared" si="238"/>
        <v>0.42358772612735457</v>
      </c>
      <c r="Y136" s="7">
        <f t="shared" si="238"/>
        <v>0.44701250780830076</v>
      </c>
      <c r="Z136" s="7">
        <f t="shared" si="238"/>
        <v>0.43224724834171585</v>
      </c>
      <c r="AA136" s="7">
        <f t="shared" si="238"/>
        <v>0.45</v>
      </c>
    </row>
    <row r="137" spans="2:59" x14ac:dyDescent="0.25">
      <c r="B137" t="s">
        <v>206</v>
      </c>
      <c r="S137" s="7">
        <f>+S123/S125</f>
        <v>0.19853379025865708</v>
      </c>
      <c r="T137" s="7">
        <f t="shared" ref="T137:AA137" si="239">+T123/T125</f>
        <v>0.34095465910183675</v>
      </c>
      <c r="U137" s="7">
        <f t="shared" si="239"/>
        <v>0.44042329340603509</v>
      </c>
      <c r="V137" s="7">
        <f t="shared" si="239"/>
        <v>0.48045573440956274</v>
      </c>
      <c r="W137" s="7">
        <f t="shared" si="239"/>
        <v>0.51486054471719211</v>
      </c>
      <c r="X137" s="7">
        <f t="shared" si="239"/>
        <v>0.48433980256035825</v>
      </c>
      <c r="Y137" s="7">
        <f t="shared" si="239"/>
        <v>0.50963871173932629</v>
      </c>
      <c r="Z137" s="7">
        <f t="shared" si="239"/>
        <v>0.47781665330320477</v>
      </c>
      <c r="AA137" s="7">
        <f t="shared" si="239"/>
        <v>0.5</v>
      </c>
    </row>
    <row r="139" spans="2:59" x14ac:dyDescent="0.25">
      <c r="AA139" s="10"/>
    </row>
    <row r="140" spans="2:59" s="2" customFormat="1" x14ac:dyDescent="0.25">
      <c r="B140" s="2" t="s">
        <v>221</v>
      </c>
      <c r="C140" s="5">
        <v>165</v>
      </c>
      <c r="D140" s="5">
        <v>188</v>
      </c>
      <c r="E140" s="5">
        <v>236</v>
      </c>
      <c r="F140" s="5">
        <f>+BB140-E140-D140-C140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AA140" s="2">
        <v>20739</v>
      </c>
      <c r="BA140" s="2">
        <v>1506</v>
      </c>
      <c r="BB140" s="2">
        <v>886</v>
      </c>
      <c r="BC140" s="2">
        <f>SUM(G140:J140)</f>
        <v>3214</v>
      </c>
      <c r="BD140" s="2">
        <f>SUM(K140:N140)</f>
        <v>4349</v>
      </c>
      <c r="BE140" s="2">
        <f t="shared" ref="BE140:BE144" si="240">SUM(O140:R140)</f>
        <v>8292</v>
      </c>
      <c r="BF140" s="2">
        <f t="shared" ref="BF140:BF144" si="241">SUM(S140:V140)</f>
        <v>26966</v>
      </c>
      <c r="BG140" s="2">
        <f t="shared" ref="BG140:BG144" si="242">SUM(W140:Z140)</f>
        <v>61257</v>
      </c>
    </row>
    <row r="141" spans="2:59" s="2" customFormat="1" x14ac:dyDescent="0.25">
      <c r="B141" s="2" t="s">
        <v>222</v>
      </c>
      <c r="C141" s="5">
        <v>698</v>
      </c>
      <c r="D141" s="5">
        <v>635</v>
      </c>
      <c r="E141" s="5">
        <v>838</v>
      </c>
      <c r="F141" s="5">
        <f>+BB141-E141-D141-C141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AA141" s="2">
        <v>7158</v>
      </c>
      <c r="BA141" s="2">
        <v>3360</v>
      </c>
      <c r="BB141" s="2">
        <v>3025</v>
      </c>
      <c r="BC141" s="2">
        <f>SUM(G141:J141)</f>
        <v>4531</v>
      </c>
      <c r="BD141" s="2">
        <f>SUM(K141:N141)</f>
        <v>8544</v>
      </c>
      <c r="BE141" s="2">
        <f t="shared" si="240"/>
        <v>6986</v>
      </c>
      <c r="BF141" s="2">
        <f t="shared" si="241"/>
        <v>13405</v>
      </c>
      <c r="BG141" s="2">
        <f t="shared" si="242"/>
        <v>20573</v>
      </c>
    </row>
    <row r="142" spans="2:59" s="2" customFormat="1" x14ac:dyDescent="0.25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AA142" s="2">
        <v>9017</v>
      </c>
      <c r="BF142" s="2">
        <f t="shared" si="241"/>
        <v>6831</v>
      </c>
      <c r="BG142" s="2">
        <f t="shared" si="242"/>
        <v>23684</v>
      </c>
    </row>
    <row r="143" spans="2:59" s="2" customFormat="1" x14ac:dyDescent="0.25">
      <c r="B143" s="2" t="s">
        <v>224</v>
      </c>
      <c r="C143" s="5">
        <v>553</v>
      </c>
      <c r="D143" s="5">
        <v>583</v>
      </c>
      <c r="E143" s="5">
        <v>758</v>
      </c>
      <c r="F143" s="5">
        <f>+BB143-E143-D143-C143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AA143" s="2">
        <v>5522</v>
      </c>
      <c r="BA143" s="2">
        <v>2801</v>
      </c>
      <c r="BB143" s="2">
        <v>2731</v>
      </c>
      <c r="BC143" s="2">
        <f>SUM(G143:J143)</f>
        <v>3886</v>
      </c>
      <c r="BD143" s="2">
        <f>SUM(K143:N143)</f>
        <v>7111</v>
      </c>
      <c r="BE143" s="2">
        <f t="shared" si="240"/>
        <v>5785</v>
      </c>
      <c r="BF143" s="2">
        <f t="shared" si="241"/>
        <v>10306</v>
      </c>
      <c r="BG143" s="2">
        <f t="shared" si="242"/>
        <v>17108</v>
      </c>
    </row>
    <row r="144" spans="2:59" s="2" customFormat="1" x14ac:dyDescent="0.25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+BB144-E144-D144-C144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AA144" s="2">
        <v>1626</v>
      </c>
      <c r="BA144" s="2">
        <f>2368+914+767</f>
        <v>4049</v>
      </c>
      <c r="BB144" s="2">
        <f>2685+992+599</f>
        <v>4276</v>
      </c>
      <c r="BC144" s="2">
        <f>SUM(G144:J144)</f>
        <v>5044</v>
      </c>
      <c r="BD144" s="2">
        <f>SUM(K144:N144)</f>
        <v>6910</v>
      </c>
      <c r="BE144" s="2">
        <f t="shared" si="240"/>
        <v>5911</v>
      </c>
      <c r="BF144" s="2">
        <f t="shared" si="241"/>
        <v>3414</v>
      </c>
      <c r="BG144" s="2">
        <f t="shared" si="242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2025-08-13T13:29:56Z</dcterms:modified>
</cp:coreProperties>
</file>