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hethanjkulkarni/Downloads/"/>
    </mc:Choice>
  </mc:AlternateContent>
  <xr:revisionPtr revIDLastSave="0" documentId="13_ncr:1_{70757A68-3949-6246-A059-BC149723BBBF}" xr6:coauthVersionLast="45" xr6:coauthVersionMax="45" xr10:uidLastSave="{00000000-0000-0000-0000-000000000000}"/>
  <bookViews>
    <workbookView xWindow="0" yWindow="460" windowWidth="28800" windowHeight="16100" activeTab="2" xr2:uid="{00000000-000D-0000-FFFF-FFFF00000000}"/>
  </bookViews>
  <sheets>
    <sheet name="Arwa" sheetId="2" r:id="rId1"/>
    <sheet name="Usna" sheetId="1" r:id="rId2"/>
    <sheet name="Stock Report" sheetId="3" r:id="rId3"/>
    <sheet name="Paddy Shortage (Rice)" sheetId="4" r:id="rId4"/>
    <sheet name="Paddy Shortage (Paddy)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M9" i="1"/>
  <c r="I9" i="1"/>
  <c r="G9" i="1"/>
  <c r="K9" i="1"/>
  <c r="H9" i="1"/>
  <c r="J11" i="1"/>
  <c r="G11" i="1"/>
  <c r="D9" i="1"/>
  <c r="E9" i="2"/>
  <c r="E23" i="5" l="1"/>
  <c r="E20" i="5"/>
  <c r="F20" i="5" s="1"/>
  <c r="E19" i="5"/>
  <c r="F19" i="5" s="1"/>
  <c r="E14" i="5"/>
  <c r="F14" i="5" s="1"/>
  <c r="E13" i="5"/>
  <c r="F13" i="5" s="1"/>
  <c r="F15" i="5" l="1"/>
  <c r="F16" i="5" s="1"/>
  <c r="E11" i="4"/>
  <c r="E10" i="5" s="1"/>
  <c r="F10" i="5" s="1"/>
  <c r="E6" i="4"/>
  <c r="E6" i="5" s="1"/>
  <c r="F6" i="5" s="1"/>
  <c r="E27" i="4" l="1"/>
  <c r="F20" i="4"/>
  <c r="F19" i="4"/>
  <c r="F17" i="4"/>
  <c r="F16" i="4"/>
  <c r="E7" i="4"/>
  <c r="F11" i="4"/>
  <c r="F6" i="4"/>
  <c r="F7" i="4" s="1"/>
  <c r="O38" i="3"/>
  <c r="O37" i="3"/>
  <c r="O36" i="3"/>
  <c r="Q35" i="3"/>
  <c r="P35" i="3"/>
  <c r="O35" i="3"/>
  <c r="N35" i="3"/>
  <c r="O33" i="3"/>
  <c r="N33" i="3"/>
  <c r="I31" i="3"/>
  <c r="Q23" i="3"/>
  <c r="P23" i="3"/>
  <c r="Q22" i="3"/>
  <c r="P22" i="3"/>
  <c r="I19" i="3"/>
  <c r="J19" i="3"/>
  <c r="K19" i="3"/>
  <c r="L19" i="3"/>
  <c r="M19" i="3"/>
  <c r="N19" i="3"/>
  <c r="O24" i="3"/>
  <c r="O23" i="3"/>
  <c r="N23" i="3"/>
  <c r="O22" i="3"/>
  <c r="N22" i="3"/>
  <c r="O21" i="3"/>
  <c r="O20" i="3"/>
  <c r="F19" i="3"/>
  <c r="P12" i="3"/>
  <c r="Q10" i="3"/>
  <c r="P10" i="3"/>
  <c r="P7" i="3"/>
  <c r="G12" i="3"/>
  <c r="H12" i="3"/>
  <c r="I12" i="3"/>
  <c r="J12" i="3"/>
  <c r="K12" i="3"/>
  <c r="L12" i="3"/>
  <c r="M12" i="3"/>
  <c r="F12" i="3"/>
  <c r="G11" i="3"/>
  <c r="I11" i="3"/>
  <c r="J11" i="3"/>
  <c r="K11" i="3"/>
  <c r="L11" i="3"/>
  <c r="M11" i="3"/>
  <c r="F11" i="3"/>
  <c r="G10" i="3"/>
  <c r="H10" i="3"/>
  <c r="I10" i="3"/>
  <c r="J10" i="3"/>
  <c r="K10" i="3"/>
  <c r="L10" i="3"/>
  <c r="M10" i="3"/>
  <c r="F10" i="3"/>
  <c r="H9" i="3"/>
  <c r="I9" i="3"/>
  <c r="J9" i="3"/>
  <c r="K9" i="3"/>
  <c r="L9" i="3"/>
  <c r="M9" i="3"/>
  <c r="F9" i="3"/>
  <c r="G8" i="3"/>
  <c r="I8" i="3"/>
  <c r="J8" i="3"/>
  <c r="K8" i="3"/>
  <c r="L8" i="3"/>
  <c r="M8" i="3"/>
  <c r="F8" i="3"/>
  <c r="G7" i="3"/>
  <c r="H7" i="3"/>
  <c r="I7" i="3"/>
  <c r="J7" i="3"/>
  <c r="K7" i="3"/>
  <c r="M7" i="3"/>
  <c r="F7" i="3"/>
  <c r="L7" i="3" l="1"/>
  <c r="L10" i="2" l="1"/>
  <c r="L8" i="2"/>
  <c r="K10" i="2"/>
  <c r="J10" i="2"/>
  <c r="J8" i="2"/>
  <c r="I10" i="2"/>
  <c r="I8" i="2"/>
  <c r="H10" i="2"/>
  <c r="G10" i="2"/>
  <c r="N10" i="1"/>
  <c r="M10" i="1"/>
  <c r="L10" i="1"/>
  <c r="L8" i="1"/>
  <c r="K10" i="1"/>
  <c r="J10" i="1"/>
  <c r="L13" i="1" l="1"/>
  <c r="I13" i="2"/>
  <c r="J13" i="2"/>
  <c r="L13" i="2"/>
  <c r="AA8" i="3" l="1"/>
  <c r="AB8" i="3" s="1"/>
  <c r="AA9" i="3"/>
  <c r="AB9" i="3" s="1"/>
  <c r="AA10" i="3"/>
  <c r="AB10" i="3" s="1"/>
  <c r="AE10" i="3" s="1"/>
  <c r="AA11" i="3"/>
  <c r="AB11" i="3" s="1"/>
  <c r="AA12" i="3"/>
  <c r="AB12" i="3" s="1"/>
  <c r="AA7" i="3"/>
  <c r="AD10" i="3" l="1"/>
  <c r="AD12" i="3"/>
  <c r="AD7" i="3"/>
  <c r="AB7" i="3"/>
  <c r="G10" i="1" l="1"/>
  <c r="H10" i="1" l="1"/>
  <c r="I10" i="1" l="1"/>
  <c r="K31" i="3" l="1"/>
  <c r="H31" i="3" l="1"/>
  <c r="N20" i="3" l="1"/>
  <c r="Q20" i="3" l="1"/>
  <c r="P20" i="3"/>
  <c r="L31" i="3" l="1"/>
  <c r="M31" i="3"/>
  <c r="N32" i="3"/>
  <c r="N38" i="3"/>
  <c r="M8" i="1"/>
  <c r="M13" i="1" s="1"/>
  <c r="O32" i="3"/>
  <c r="Q38" i="3" l="1"/>
  <c r="P38" i="3"/>
  <c r="O19" i="3" l="1"/>
  <c r="K8" i="2" l="1"/>
  <c r="K13" i="2" s="1"/>
  <c r="Q12" i="3" l="1"/>
  <c r="AE12" i="3" s="1"/>
  <c r="H8" i="1" l="1"/>
  <c r="H13" i="1" s="1"/>
  <c r="G8" i="1" l="1"/>
  <c r="G13" i="1" s="1"/>
  <c r="N34" i="3" l="1"/>
  <c r="K8" i="1"/>
  <c r="K13" i="1" s="1"/>
  <c r="O34" i="3"/>
  <c r="I8" i="1"/>
  <c r="I13" i="1" s="1"/>
  <c r="Q34" i="3" l="1"/>
  <c r="Q33" i="3"/>
  <c r="P33" i="3"/>
  <c r="P34" i="3"/>
  <c r="J8" i="1" l="1"/>
  <c r="J13" i="1" s="1"/>
  <c r="N31" i="3" l="1"/>
  <c r="J31" i="3"/>
  <c r="G31" i="3"/>
  <c r="N8" i="1"/>
  <c r="N13" i="1" s="1"/>
  <c r="N36" i="3"/>
  <c r="F31" i="3"/>
  <c r="N37" i="3"/>
  <c r="P37" i="3"/>
  <c r="E18" i="4" l="1"/>
  <c r="F18" i="4" s="1"/>
  <c r="F21" i="4" s="1"/>
  <c r="E18" i="5"/>
  <c r="F18" i="5" s="1"/>
  <c r="F21" i="5" s="1"/>
  <c r="F23" i="5" s="1"/>
  <c r="Q31" i="3"/>
  <c r="P36" i="3"/>
  <c r="P39" i="3" s="1"/>
  <c r="Q36" i="3"/>
  <c r="Q37" i="3"/>
  <c r="Q32" i="3"/>
  <c r="P32" i="3"/>
  <c r="Q39" i="3" l="1"/>
  <c r="P31" i="3" l="1"/>
  <c r="H11" i="3" l="1"/>
  <c r="G9" i="3"/>
  <c r="H8" i="3"/>
  <c r="P8" i="3" l="1"/>
  <c r="AD8" i="3" s="1"/>
  <c r="P11" i="3"/>
  <c r="AD11" i="3" s="1"/>
  <c r="P9" i="3"/>
  <c r="AD9" i="3" l="1"/>
  <c r="P13" i="3"/>
  <c r="Q11" i="3"/>
  <c r="AE11" i="3" s="1"/>
  <c r="Q9" i="3" l="1"/>
  <c r="AE9" i="3" s="1"/>
  <c r="Q8" i="3"/>
  <c r="AE8" i="3" s="1"/>
  <c r="E8" i="2"/>
  <c r="E13" i="2" s="1"/>
  <c r="E8" i="1" l="1"/>
  <c r="E13" i="1" s="1"/>
  <c r="Q7" i="3" l="1"/>
  <c r="Q13" i="3" l="1"/>
  <c r="AE7" i="3"/>
  <c r="D8" i="1"/>
  <c r="D13" i="1" s="1"/>
  <c r="D15" i="1" s="1"/>
  <c r="K16" i="1" l="1"/>
  <c r="K17" i="1" s="1"/>
  <c r="M16" i="1"/>
  <c r="M17" i="1" s="1"/>
  <c r="J16" i="1"/>
  <c r="H16" i="1"/>
  <c r="N16" i="1"/>
  <c r="N17" i="1" s="1"/>
  <c r="L16" i="1"/>
  <c r="L17" i="1" s="1"/>
  <c r="G16" i="1"/>
  <c r="G17" i="1" s="1"/>
  <c r="I16" i="1"/>
  <c r="E10" i="4"/>
  <c r="F10" i="4" s="1"/>
  <c r="F12" i="4" s="1"/>
  <c r="F14" i="4" s="1"/>
  <c r="F23" i="4" s="1"/>
  <c r="F25" i="4" s="1"/>
  <c r="F27" i="4" s="1"/>
  <c r="F29" i="4" s="1"/>
  <c r="E9" i="5"/>
  <c r="F9" i="5" s="1"/>
  <c r="F11" i="5" s="1"/>
  <c r="F25" i="5" s="1"/>
  <c r="F27" i="5" s="1"/>
  <c r="F29" i="5" s="1"/>
  <c r="D8" i="2"/>
  <c r="D13" i="2" s="1"/>
  <c r="D14" i="2" s="1"/>
  <c r="H17" i="1" l="1"/>
  <c r="G19" i="1" s="1"/>
  <c r="I16" i="2"/>
  <c r="L16" i="2"/>
  <c r="L17" i="2" s="1"/>
  <c r="K16" i="2"/>
  <c r="K17" i="2" s="1"/>
  <c r="J16" i="2"/>
  <c r="I17" i="2" l="1"/>
  <c r="H8" i="2" l="1"/>
  <c r="H13" i="2" s="1"/>
  <c r="N21" i="3" l="1"/>
  <c r="P21" i="3" l="1"/>
  <c r="Q21" i="3"/>
  <c r="H19" i="3" l="1"/>
  <c r="G8" i="2"/>
  <c r="G13" i="2" s="1"/>
  <c r="G16" i="2" s="1"/>
  <c r="G17" i="2" s="1"/>
  <c r="G19" i="2" s="1"/>
  <c r="G19" i="3"/>
  <c r="N24" i="3"/>
  <c r="Q19" i="3" l="1"/>
  <c r="P19" i="3"/>
  <c r="Q24" i="3"/>
  <c r="P24" i="3"/>
  <c r="Q25" i="3" l="1"/>
  <c r="P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</author>
  </authors>
  <commentList>
    <comment ref="E18" authorId="0" shapeId="0" xr:uid="{4710D437-6A2B-4BD7-AC06-7FE3D36FA0EE}">
      <text>
        <r>
          <rPr>
            <b/>
            <sz val="9"/>
            <color indexed="81"/>
            <rFont val="Tahoma"/>
            <family val="2"/>
          </rPr>
          <t>Discoloured Rice + Dhaala Bharti 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</author>
  </authors>
  <commentList>
    <comment ref="E18" authorId="0" shapeId="0" xr:uid="{E4169114-0897-4E9F-9CB6-5FEC6ECE0716}">
      <text>
        <r>
          <rPr>
            <b/>
            <sz val="9"/>
            <color indexed="81"/>
            <rFont val="Tahoma"/>
            <family val="2"/>
          </rPr>
          <t>Discoloured Rice + Dhaala Bharti Rice</t>
        </r>
      </text>
    </comment>
  </commentList>
</comments>
</file>

<file path=xl/sharedStrings.xml><?xml version="1.0" encoding="utf-8"?>
<sst xmlns="http://schemas.openxmlformats.org/spreadsheetml/2006/main" count="379" uniqueCount="103">
  <si>
    <t>Mota Paddy Processed</t>
  </si>
  <si>
    <t>Sarna Paddy Processed</t>
  </si>
  <si>
    <t>Rice Output</t>
  </si>
  <si>
    <t>Broken Rice</t>
  </si>
  <si>
    <t>Pin Broken</t>
  </si>
  <si>
    <t>Rejection 1 No.</t>
  </si>
  <si>
    <t>Rafi</t>
  </si>
  <si>
    <t>Bran</t>
  </si>
  <si>
    <t>(In Qtls)</t>
  </si>
  <si>
    <t>Total Production</t>
  </si>
  <si>
    <t>Khanda</t>
  </si>
  <si>
    <t>Gross Total</t>
  </si>
  <si>
    <t>Rejection 2 No.</t>
  </si>
  <si>
    <t>Particulars</t>
  </si>
  <si>
    <t>PDS Rice</t>
  </si>
  <si>
    <t>Mill Production</t>
  </si>
  <si>
    <t>S.No.</t>
  </si>
  <si>
    <t>Dalua Paddy</t>
  </si>
  <si>
    <t>Mota Paddy</t>
  </si>
  <si>
    <t>Sarna Paddy</t>
  </si>
  <si>
    <t>HMT Komal Paddy</t>
  </si>
  <si>
    <t>Mota Discolour</t>
  </si>
  <si>
    <t>Sarna Discolour</t>
  </si>
  <si>
    <t>Item Name</t>
  </si>
  <si>
    <t>Roller Godown</t>
  </si>
  <si>
    <t>Milltech</t>
  </si>
  <si>
    <t>Maharaj Side Godown</t>
  </si>
  <si>
    <t>Surri Plant Godown</t>
  </si>
  <si>
    <t>Dharamkaanta Side Godown</t>
  </si>
  <si>
    <t>Middle Passage Godown</t>
  </si>
  <si>
    <t>Misc 1</t>
  </si>
  <si>
    <t>Misc 2</t>
  </si>
  <si>
    <t>Total</t>
  </si>
  <si>
    <t>(In Bags)</t>
  </si>
  <si>
    <t>(In Qtl)</t>
  </si>
  <si>
    <t>Arwa Rice</t>
  </si>
  <si>
    <t>HMT Rice</t>
  </si>
  <si>
    <t>NAN (50kg)</t>
  </si>
  <si>
    <t>Free Sale (25 Kg)</t>
  </si>
  <si>
    <t>Free Sale (24 Kg)</t>
  </si>
  <si>
    <t>Free Sale (23 Kg)</t>
  </si>
  <si>
    <t>Free Sale (22 Kg)</t>
  </si>
  <si>
    <t>Free Sale (20 Kg)</t>
  </si>
  <si>
    <t>Free Sale (19 Kg)</t>
  </si>
  <si>
    <t>Other Rice Millers    (50 kg)</t>
  </si>
  <si>
    <t>Daala Bharti</t>
  </si>
  <si>
    <t>-</t>
  </si>
  <si>
    <t>FCI (50kg)</t>
  </si>
  <si>
    <t>PBC Discolour Rice</t>
  </si>
  <si>
    <t>Usna Rice</t>
  </si>
  <si>
    <t>Sortex Broken Rice</t>
  </si>
  <si>
    <t>Pin Broken Rice</t>
  </si>
  <si>
    <t>Rejection Rice 1 No.</t>
  </si>
  <si>
    <t>Rejection Rice 2 No.</t>
  </si>
  <si>
    <t>Drier</t>
  </si>
  <si>
    <t>Handi</t>
  </si>
  <si>
    <t>Storage Above Handi</t>
  </si>
  <si>
    <t>Chalna Godi</t>
  </si>
  <si>
    <t>Mill Hall</t>
  </si>
  <si>
    <t>Surri Godi</t>
  </si>
  <si>
    <t>Milltech Godi</t>
  </si>
  <si>
    <t>Grand Total</t>
  </si>
  <si>
    <t>Net Production This Month</t>
  </si>
  <si>
    <t>Rice Jama</t>
  </si>
  <si>
    <t>DO Uthaav</t>
  </si>
  <si>
    <t>Weight</t>
  </si>
  <si>
    <t>In Qtl</t>
  </si>
  <si>
    <t>Rice Dheri</t>
  </si>
  <si>
    <t>Rice (In Truck)</t>
  </si>
  <si>
    <t>Paddy Stocked</t>
  </si>
  <si>
    <t>Penindg Lots to be entered (If Any)</t>
  </si>
  <si>
    <t>Rice Stocked</t>
  </si>
  <si>
    <t>Closing Stock of Current Month (Dheri+ Handi+ Truck)</t>
  </si>
  <si>
    <t>Opening Stock of Current Month</t>
  </si>
  <si>
    <t>Purchased from Outside (In Qtls)</t>
  </si>
  <si>
    <t>Usna Rice to be Given Against DO Uthaav</t>
  </si>
  <si>
    <t>Paddy in Dheri + Handi + Godi + Truck</t>
  </si>
  <si>
    <t>Enter Value</t>
  </si>
  <si>
    <t>In Bags</t>
  </si>
  <si>
    <t>In Numbers</t>
  </si>
  <si>
    <t>Discoloured Rice + Dhaala Bharti Rice</t>
  </si>
  <si>
    <t>In Qtls</t>
  </si>
  <si>
    <t>Rice Against this Paddy</t>
  </si>
  <si>
    <t>In Percentage</t>
  </si>
  <si>
    <t>Qtl</t>
  </si>
  <si>
    <t>Rice Shortage</t>
  </si>
  <si>
    <t>Qtls</t>
  </si>
  <si>
    <t>Negative value matlab Paddy Shortage nahi hai</t>
  </si>
  <si>
    <t>A</t>
  </si>
  <si>
    <t>B</t>
  </si>
  <si>
    <t>C</t>
  </si>
  <si>
    <t>B+C</t>
  </si>
  <si>
    <t>A-C</t>
  </si>
  <si>
    <t xml:space="preserve">Paddy Shortage </t>
  </si>
  <si>
    <t>Per Qtl</t>
  </si>
  <si>
    <t>Total Shortage in Rupees</t>
  </si>
  <si>
    <t>Paddy Against CMR Jama</t>
  </si>
  <si>
    <t>Gross Total Paddy</t>
  </si>
  <si>
    <t>Paddy Against This Rice</t>
  </si>
  <si>
    <t>D</t>
  </si>
  <si>
    <t>E</t>
  </si>
  <si>
    <t>B+C+D</t>
  </si>
  <si>
    <t>A-E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</si>
</sst>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4" borderId="6" xfId="0" applyFont="1" applyFill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9" fontId="3" fillId="3" borderId="8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9" fontId="3" fillId="2" borderId="2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2556f726750ce67/Desktop/Rice%20Mill/Stock%20Report%20-%20Latest/8-%20August/Paddy%20Stock%20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2556f726750ce67/Desktop/Rice%20Mill/Stock%20Report%20-%20Latest/8-%20August/Arwa%20Rice%20Stock%20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2556f726750ce67/Desktop/Rice%20Mill/Stock%20Report%20-%20Latest/8-%20August/Usna%20Rice%20Stock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a Paddy"/>
      <sheetName val="Dalua Paddy "/>
      <sheetName val="Sarna  Paddy  "/>
      <sheetName val="HMT Komal Paddy "/>
      <sheetName val="Mota Discolour Paddy "/>
      <sheetName val="Sarna Discolour Paddy  "/>
      <sheetName val="Sheet2"/>
      <sheetName val="Sheet3"/>
    </sheetNames>
    <sheetDataSet>
      <sheetData sheetId="0">
        <row r="40">
          <cell r="O40">
            <v>37401</v>
          </cell>
          <cell r="P40">
            <v>0</v>
          </cell>
          <cell r="Q40">
            <v>2365</v>
          </cell>
          <cell r="R40">
            <v>555</v>
          </cell>
          <cell r="S40">
            <v>0</v>
          </cell>
          <cell r="T40">
            <v>1000</v>
          </cell>
          <cell r="U40">
            <v>0</v>
          </cell>
          <cell r="V40">
            <v>0</v>
          </cell>
          <cell r="X40">
            <v>41321</v>
          </cell>
          <cell r="Y40">
            <v>16523.550000000003</v>
          </cell>
          <cell r="AC40">
            <v>13595.103999999999</v>
          </cell>
          <cell r="AG40">
            <v>0</v>
          </cell>
        </row>
      </sheetData>
      <sheetData sheetId="1">
        <row r="40"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C40">
            <v>2486.5499999999997</v>
          </cell>
          <cell r="AG40">
            <v>0</v>
          </cell>
        </row>
      </sheetData>
      <sheetData sheetId="2">
        <row r="40">
          <cell r="O40">
            <v>2480</v>
          </cell>
          <cell r="P40">
            <v>12178</v>
          </cell>
          <cell r="Q40">
            <v>0</v>
          </cell>
          <cell r="R40">
            <v>0</v>
          </cell>
          <cell r="S40">
            <v>0</v>
          </cell>
          <cell r="T40">
            <v>5800</v>
          </cell>
          <cell r="U40">
            <v>0</v>
          </cell>
          <cell r="V40">
            <v>0</v>
          </cell>
          <cell r="X40">
            <v>20458</v>
          </cell>
          <cell r="Y40">
            <v>8172.61</v>
          </cell>
          <cell r="AC40">
            <v>1154.2369337979094</v>
          </cell>
          <cell r="AG40">
            <v>3735.1914662020909</v>
          </cell>
        </row>
      </sheetData>
      <sheetData sheetId="3">
        <row r="40"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C40">
            <v>0</v>
          </cell>
        </row>
      </sheetData>
      <sheetData sheetId="4">
        <row r="40">
          <cell r="O40">
            <v>0</v>
          </cell>
          <cell r="P40">
            <v>0</v>
          </cell>
          <cell r="Q40">
            <v>-15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X40">
            <v>-15</v>
          </cell>
          <cell r="Y40">
            <v>-6</v>
          </cell>
          <cell r="AC40">
            <v>186</v>
          </cell>
          <cell r="AG40">
            <v>0</v>
          </cell>
        </row>
      </sheetData>
      <sheetData sheetId="5">
        <row r="40">
          <cell r="O40">
            <v>790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X40">
            <v>790</v>
          </cell>
          <cell r="Y40">
            <v>316</v>
          </cell>
          <cell r="AC40">
            <v>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wa Rice"/>
      <sheetName val="Broken Rice"/>
      <sheetName val="HMT Rice"/>
      <sheetName val="Bran"/>
      <sheetName val="Khanda"/>
      <sheetName val="Rafi"/>
      <sheetName val="Sheet10"/>
      <sheetName val="Sheet2"/>
      <sheetName val="Sheet3"/>
    </sheetNames>
    <sheetDataSet>
      <sheetData sheetId="0">
        <row r="9">
          <cell r="F9">
            <v>0</v>
          </cell>
          <cell r="Q9">
            <v>967.75</v>
          </cell>
        </row>
        <row r="41">
          <cell r="F41">
            <v>1748.8899999999994</v>
          </cell>
          <cell r="O41">
            <v>0</v>
          </cell>
          <cell r="Q41">
            <v>3051.6400000000012</v>
          </cell>
          <cell r="AJ41">
            <v>637</v>
          </cell>
          <cell r="AK41">
            <v>3680.1800000000003</v>
          </cell>
          <cell r="AM41">
            <v>7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1200</v>
          </cell>
          <cell r="AT41">
            <v>670</v>
          </cell>
          <cell r="AV41">
            <v>6194.18</v>
          </cell>
          <cell r="AW41">
            <v>2934.1400000000012</v>
          </cell>
        </row>
      </sheetData>
      <sheetData sheetId="1">
        <row r="9">
          <cell r="I9">
            <v>110.5</v>
          </cell>
        </row>
        <row r="41">
          <cell r="I41">
            <v>110.5</v>
          </cell>
          <cell r="S41">
            <v>15.780000000000001</v>
          </cell>
          <cell r="T41">
            <v>0</v>
          </cell>
          <cell r="U41">
            <v>15.780000000000001</v>
          </cell>
          <cell r="V41">
            <v>7.8900000000000006</v>
          </cell>
        </row>
      </sheetData>
      <sheetData sheetId="2">
        <row r="41">
          <cell r="O41">
            <v>57</v>
          </cell>
          <cell r="P41">
            <v>0</v>
          </cell>
          <cell r="Q41">
            <v>57</v>
          </cell>
          <cell r="R41">
            <v>14.25</v>
          </cell>
        </row>
      </sheetData>
      <sheetData sheetId="3">
        <row r="9">
          <cell r="H9">
            <v>0</v>
          </cell>
        </row>
        <row r="41">
          <cell r="H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</sheetData>
      <sheetData sheetId="4">
        <row r="9">
          <cell r="H9">
            <v>0</v>
          </cell>
        </row>
        <row r="41">
          <cell r="H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</sheetData>
      <sheetData sheetId="5">
        <row r="9">
          <cell r="H9">
            <v>692.5</v>
          </cell>
        </row>
        <row r="41">
          <cell r="H41">
            <v>750.5</v>
          </cell>
          <cell r="O41">
            <v>799.09999999999991</v>
          </cell>
          <cell r="P41">
            <v>35</v>
          </cell>
          <cell r="Q41">
            <v>834.09999999999991</v>
          </cell>
          <cell r="R41">
            <v>442.24999999999994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na Rice"/>
      <sheetName val="Sortex Broken Rice"/>
      <sheetName val="Pin Broken Rice "/>
      <sheetName val="Rejection Rice 1 No  "/>
      <sheetName val="Rejection Rice 2 No"/>
      <sheetName val="Bran"/>
      <sheetName val="Khanda"/>
      <sheetName val="Rafi"/>
      <sheetName val="Sheet10"/>
      <sheetName val="Sheet2"/>
      <sheetName val="Sheet3"/>
    </sheetNames>
    <sheetDataSet>
      <sheetData sheetId="0">
        <row r="9">
          <cell r="R9">
            <v>189.2</v>
          </cell>
        </row>
        <row r="18">
          <cell r="E18">
            <v>600</v>
          </cell>
        </row>
        <row r="35">
          <cell r="L35">
            <v>10</v>
          </cell>
        </row>
        <row r="42">
          <cell r="M42">
            <v>849</v>
          </cell>
          <cell r="N42">
            <v>859</v>
          </cell>
          <cell r="O42">
            <v>126</v>
          </cell>
          <cell r="R42">
            <v>11633.41</v>
          </cell>
          <cell r="AK42">
            <v>-491</v>
          </cell>
          <cell r="AL42">
            <v>442</v>
          </cell>
          <cell r="AM42">
            <v>33</v>
          </cell>
          <cell r="AN42">
            <v>0</v>
          </cell>
          <cell r="AO42">
            <v>31</v>
          </cell>
          <cell r="AP42">
            <v>0</v>
          </cell>
          <cell r="AQ42">
            <v>10</v>
          </cell>
          <cell r="AR42">
            <v>0</v>
          </cell>
          <cell r="AS42">
            <v>109.38</v>
          </cell>
          <cell r="AW42">
            <v>134.38000000000011</v>
          </cell>
          <cell r="AX42">
            <v>47.569999999999936</v>
          </cell>
        </row>
      </sheetData>
      <sheetData sheetId="1">
        <row r="9">
          <cell r="I9">
            <v>90.5</v>
          </cell>
        </row>
        <row r="41">
          <cell r="I41">
            <v>540</v>
          </cell>
          <cell r="Q41">
            <v>181</v>
          </cell>
          <cell r="R41">
            <v>90</v>
          </cell>
          <cell r="S41">
            <v>271</v>
          </cell>
          <cell r="T41">
            <v>135.5</v>
          </cell>
        </row>
      </sheetData>
      <sheetData sheetId="2">
        <row r="9">
          <cell r="I9">
            <v>40</v>
          </cell>
        </row>
        <row r="41">
          <cell r="I41">
            <v>75.5</v>
          </cell>
          <cell r="Q41">
            <v>0</v>
          </cell>
          <cell r="R41">
            <v>80</v>
          </cell>
          <cell r="S41">
            <v>80</v>
          </cell>
          <cell r="T41">
            <v>40</v>
          </cell>
        </row>
      </sheetData>
      <sheetData sheetId="3">
        <row r="9">
          <cell r="I9">
            <v>303.5</v>
          </cell>
        </row>
        <row r="41">
          <cell r="I41">
            <v>1753.5</v>
          </cell>
          <cell r="R41">
            <v>87</v>
          </cell>
          <cell r="S41">
            <v>156</v>
          </cell>
          <cell r="T41">
            <v>243</v>
          </cell>
          <cell r="U41">
            <v>154.00000000000006</v>
          </cell>
        </row>
      </sheetData>
      <sheetData sheetId="4">
        <row r="9">
          <cell r="H9">
            <v>0</v>
          </cell>
        </row>
        <row r="41">
          <cell r="H41">
            <v>73</v>
          </cell>
          <cell r="O41">
            <v>0</v>
          </cell>
          <cell r="P41">
            <v>146</v>
          </cell>
          <cell r="Q41">
            <v>146</v>
          </cell>
          <cell r="R41">
            <v>73</v>
          </cell>
        </row>
      </sheetData>
      <sheetData sheetId="5">
        <row r="9">
          <cell r="H9">
            <v>0</v>
          </cell>
        </row>
        <row r="41">
          <cell r="H41">
            <v>841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</sheetData>
      <sheetData sheetId="6">
        <row r="9">
          <cell r="I9">
            <v>198</v>
          </cell>
        </row>
        <row r="19">
          <cell r="D19">
            <v>500</v>
          </cell>
        </row>
        <row r="39">
          <cell r="D39">
            <v>500</v>
          </cell>
        </row>
        <row r="41">
          <cell r="I41">
            <v>930</v>
          </cell>
          <cell r="Q41">
            <v>1000</v>
          </cell>
          <cell r="R41">
            <v>0</v>
          </cell>
          <cell r="S41">
            <v>1000</v>
          </cell>
          <cell r="T41">
            <v>500.5</v>
          </cell>
        </row>
      </sheetData>
      <sheetData sheetId="7">
        <row r="9">
          <cell r="H9">
            <v>10</v>
          </cell>
        </row>
        <row r="41">
          <cell r="H41">
            <v>130.5</v>
          </cell>
          <cell r="O41">
            <v>67.5</v>
          </cell>
          <cell r="P41">
            <v>25</v>
          </cell>
          <cell r="Q41">
            <v>92.5</v>
          </cell>
          <cell r="R41">
            <v>46.25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F48B-6973-48A6-8195-7960C9D2EFFF}">
  <dimension ref="B3:N19"/>
  <sheetViews>
    <sheetView workbookViewId="0">
      <selection activeCell="B26" sqref="B26"/>
    </sheetView>
  </sheetViews>
  <sheetFormatPr baseColWidth="10" defaultColWidth="9" defaultRowHeight="15" x14ac:dyDescent="0.2"/>
  <cols>
    <col min="1" max="1" width="9" style="1"/>
    <col min="2" max="2" width="28.33203125" style="1" customWidth="1"/>
    <col min="3" max="3" width="9" style="1"/>
    <col min="4" max="4" width="19.33203125" style="1" bestFit="1" customWidth="1"/>
    <col min="5" max="5" width="20.6640625" style="1" customWidth="1"/>
    <col min="6" max="6" width="9" style="1"/>
    <col min="7" max="7" width="17.1640625" style="1" bestFit="1" customWidth="1"/>
    <col min="8" max="8" width="10" style="1" customWidth="1"/>
    <col min="9" max="9" width="10" style="1" bestFit="1" customWidth="1"/>
    <col min="10" max="10" width="9.1640625" style="1" customWidth="1"/>
    <col min="11" max="11" width="8.33203125" style="1" customWidth="1"/>
    <col min="12" max="12" width="11.6640625" style="1" customWidth="1"/>
    <col min="13" max="16384" width="9" style="1"/>
  </cols>
  <sheetData>
    <row r="3" spans="2:14" ht="16" thickBot="1" x14ac:dyDescent="0.25"/>
    <row r="4" spans="2:14" x14ac:dyDescent="0.2">
      <c r="B4" s="18" t="s">
        <v>13</v>
      </c>
      <c r="C4" s="19"/>
      <c r="D4" s="19" t="s">
        <v>0</v>
      </c>
      <c r="E4" s="19" t="s">
        <v>1</v>
      </c>
      <c r="F4" s="19"/>
      <c r="G4" s="123" t="s">
        <v>2</v>
      </c>
      <c r="H4" s="124"/>
      <c r="I4" s="19" t="s">
        <v>3</v>
      </c>
      <c r="J4" s="19" t="s">
        <v>10</v>
      </c>
      <c r="K4" s="19" t="s">
        <v>6</v>
      </c>
      <c r="L4" s="20" t="s">
        <v>7</v>
      </c>
    </row>
    <row r="5" spans="2:14" x14ac:dyDescent="0.2">
      <c r="B5" s="8"/>
      <c r="C5" s="4"/>
      <c r="D5" s="4" t="s">
        <v>8</v>
      </c>
      <c r="E5" s="4" t="s">
        <v>8</v>
      </c>
      <c r="F5" s="4"/>
      <c r="G5" s="4" t="s">
        <v>15</v>
      </c>
      <c r="H5" s="4" t="s">
        <v>14</v>
      </c>
      <c r="I5" s="4" t="s">
        <v>8</v>
      </c>
      <c r="J5" s="4" t="s">
        <v>8</v>
      </c>
      <c r="K5" s="4" t="s">
        <v>8</v>
      </c>
      <c r="L5" s="9" t="s">
        <v>8</v>
      </c>
    </row>
    <row r="6" spans="2:14" ht="16" thickBot="1" x14ac:dyDescent="0.25">
      <c r="B6" s="21"/>
      <c r="C6" s="12"/>
      <c r="D6" s="12"/>
      <c r="E6" s="12"/>
      <c r="F6" s="12"/>
      <c r="G6" s="12" t="s">
        <v>8</v>
      </c>
      <c r="H6" s="12" t="s">
        <v>8</v>
      </c>
      <c r="I6" s="12"/>
      <c r="J6" s="12"/>
      <c r="K6" s="12"/>
      <c r="L6" s="22"/>
    </row>
    <row r="7" spans="2:14" x14ac:dyDescent="0.2">
      <c r="B7" s="15"/>
      <c r="C7" s="16"/>
      <c r="D7" s="16"/>
      <c r="E7" s="16"/>
      <c r="F7" s="16"/>
      <c r="G7" s="16"/>
      <c r="H7" s="16"/>
      <c r="I7" s="16"/>
      <c r="J7" s="16"/>
      <c r="K7" s="16"/>
      <c r="L7" s="17"/>
    </row>
    <row r="8" spans="2:14" x14ac:dyDescent="0.2">
      <c r="B8" s="6" t="s">
        <v>9</v>
      </c>
      <c r="C8" s="3"/>
      <c r="D8" s="27">
        <f>'[1]Mota Paddy'!$AG$40+'[1]Dalua Paddy '!$AG$40+'[1]Mota Discolour Paddy '!$AG$40</f>
        <v>0</v>
      </c>
      <c r="E8" s="27">
        <f>'[1]Sarna  Paddy  '!$AC$40+'[1]Sarna Discolour Paddy  '!$AC$40</f>
        <v>1154.2369337979094</v>
      </c>
      <c r="F8" s="3"/>
      <c r="G8" s="3">
        <f>'[2]Arwa Rice'!$Q$41-'[2]Arwa Rice'!$O$41*50/100</f>
        <v>3051.6400000000012</v>
      </c>
      <c r="H8" s="3">
        <f>'[2]Arwa Rice'!$F$41</f>
        <v>1748.8899999999994</v>
      </c>
      <c r="I8" s="3">
        <f>'[2]Broken Rice'!$I$41</f>
        <v>110.5</v>
      </c>
      <c r="J8" s="3">
        <f>[2]Khanda!$H$41</f>
        <v>0</v>
      </c>
      <c r="K8" s="3">
        <f>[2]Rafi!$H$41</f>
        <v>750.5</v>
      </c>
      <c r="L8" s="7">
        <f>[2]Bran!$H$41</f>
        <v>0</v>
      </c>
    </row>
    <row r="9" spans="2:14" ht="32" x14ac:dyDescent="0.2">
      <c r="B9" s="57" t="s">
        <v>72</v>
      </c>
      <c r="C9" s="3"/>
      <c r="D9" s="28"/>
      <c r="E9" s="28">
        <f>2500*40/100</f>
        <v>1000</v>
      </c>
      <c r="F9" s="3"/>
      <c r="G9" s="58"/>
      <c r="H9" s="58"/>
      <c r="I9" s="58"/>
      <c r="J9" s="58"/>
      <c r="K9" s="58">
        <v>2.5</v>
      </c>
      <c r="L9" s="58"/>
    </row>
    <row r="10" spans="2:14" x14ac:dyDescent="0.2">
      <c r="B10" s="6" t="s">
        <v>73</v>
      </c>
      <c r="C10" s="3"/>
      <c r="D10" s="56" t="s">
        <v>46</v>
      </c>
      <c r="E10" s="56" t="s">
        <v>46</v>
      </c>
      <c r="F10" s="3"/>
      <c r="G10" s="3">
        <f>'[2]Arwa Rice'!$Q$9-'[2]Arwa Rice'!$O$9*50/100</f>
        <v>967.75</v>
      </c>
      <c r="H10" s="3">
        <f>'[2]Arwa Rice'!$F$9</f>
        <v>0</v>
      </c>
      <c r="I10" s="3">
        <f>'[2]Broken Rice'!$I$9</f>
        <v>110.5</v>
      </c>
      <c r="J10" s="3">
        <f>[2]Khanda!$H$9</f>
        <v>0</v>
      </c>
      <c r="K10" s="3">
        <f>[2]Rafi!$H$9</f>
        <v>692.5</v>
      </c>
      <c r="L10" s="7">
        <f>[2]Bran!$H$9</f>
        <v>0</v>
      </c>
    </row>
    <row r="11" spans="2:14" x14ac:dyDescent="0.2">
      <c r="B11" s="6" t="s">
        <v>74</v>
      </c>
      <c r="C11" s="3"/>
      <c r="D11" s="56" t="s">
        <v>46</v>
      </c>
      <c r="E11" s="56" t="s">
        <v>46</v>
      </c>
      <c r="F11" s="3"/>
      <c r="G11" s="28"/>
      <c r="H11" s="28"/>
      <c r="I11" s="28"/>
      <c r="J11" s="28"/>
      <c r="K11" s="28">
        <v>15</v>
      </c>
      <c r="L11" s="28"/>
      <c r="M11" s="56"/>
      <c r="N11" s="61"/>
    </row>
    <row r="12" spans="2:14" x14ac:dyDescent="0.2">
      <c r="B12" s="6"/>
      <c r="C12" s="3"/>
      <c r="D12" s="3"/>
      <c r="E12" s="3"/>
      <c r="F12" s="3"/>
      <c r="G12" s="3"/>
      <c r="H12" s="3"/>
      <c r="I12" s="3"/>
      <c r="J12" s="3"/>
      <c r="K12" s="3"/>
      <c r="L12" s="7"/>
    </row>
    <row r="13" spans="2:14" s="2" customFormat="1" x14ac:dyDescent="0.2">
      <c r="B13" s="8" t="s">
        <v>62</v>
      </c>
      <c r="C13" s="4"/>
      <c r="D13" s="4">
        <f>D8-D9</f>
        <v>0</v>
      </c>
      <c r="E13" s="4">
        <f t="shared" ref="E13" si="0">E8-E9</f>
        <v>154.23693379790939</v>
      </c>
      <c r="F13" s="4"/>
      <c r="G13" s="4">
        <f>G8-G10+G9-G11</f>
        <v>2083.8900000000012</v>
      </c>
      <c r="H13" s="4">
        <f t="shared" ref="H13:L13" si="1">H8-H10+H9-H11</f>
        <v>1748.8899999999994</v>
      </c>
      <c r="I13" s="4">
        <f t="shared" si="1"/>
        <v>0</v>
      </c>
      <c r="J13" s="4">
        <f t="shared" si="1"/>
        <v>0</v>
      </c>
      <c r="K13" s="4">
        <f t="shared" si="1"/>
        <v>45.5</v>
      </c>
      <c r="L13" s="4">
        <f t="shared" si="1"/>
        <v>0</v>
      </c>
    </row>
    <row r="14" spans="2:14" x14ac:dyDescent="0.2">
      <c r="B14" s="8" t="s">
        <v>11</v>
      </c>
      <c r="C14" s="3"/>
      <c r="D14" s="125">
        <f>D13+E13</f>
        <v>154.23693379790939</v>
      </c>
      <c r="E14" s="126"/>
      <c r="F14" s="3"/>
      <c r="G14" s="3"/>
      <c r="H14" s="3"/>
      <c r="I14" s="3"/>
      <c r="J14" s="3"/>
      <c r="K14" s="3"/>
      <c r="L14" s="7"/>
    </row>
    <row r="15" spans="2:14" x14ac:dyDescent="0.2">
      <c r="B15" s="6"/>
      <c r="C15" s="3"/>
      <c r="D15" s="3"/>
      <c r="E15" s="3"/>
      <c r="F15" s="3"/>
      <c r="G15" s="3"/>
      <c r="H15" s="3"/>
      <c r="I15" s="3"/>
      <c r="J15" s="3"/>
      <c r="K15" s="3"/>
      <c r="L15" s="7"/>
    </row>
    <row r="16" spans="2:14" x14ac:dyDescent="0.2">
      <c r="B16" s="6"/>
      <c r="C16" s="3"/>
      <c r="D16" s="3"/>
      <c r="E16" s="3"/>
      <c r="F16" s="3"/>
      <c r="G16" s="5">
        <f>(G13-H13)/$D$14</f>
        <v>2.1719830117923582</v>
      </c>
      <c r="H16" s="5"/>
      <c r="I16" s="5">
        <f t="shared" ref="I16:L16" si="2">I13/$D$14</f>
        <v>0</v>
      </c>
      <c r="J16" s="5">
        <f t="shared" si="2"/>
        <v>0</v>
      </c>
      <c r="K16" s="5">
        <f t="shared" si="2"/>
        <v>0.29500067772105004</v>
      </c>
      <c r="L16" s="5">
        <f t="shared" si="2"/>
        <v>0</v>
      </c>
    </row>
    <row r="17" spans="2:12" x14ac:dyDescent="0.2">
      <c r="B17" s="6"/>
      <c r="C17" s="3"/>
      <c r="D17" s="3"/>
      <c r="E17" s="3"/>
      <c r="F17" s="3"/>
      <c r="G17" s="24">
        <f>G16</f>
        <v>2.1719830117923582</v>
      </c>
      <c r="H17" s="26"/>
      <c r="I17" s="121">
        <f>I16+J16</f>
        <v>0</v>
      </c>
      <c r="J17" s="122"/>
      <c r="K17" s="24">
        <f t="shared" ref="K17:L17" si="3">K16</f>
        <v>0.29500067772105004</v>
      </c>
      <c r="L17" s="25">
        <f t="shared" si="3"/>
        <v>0</v>
      </c>
    </row>
    <row r="18" spans="2:12" x14ac:dyDescent="0.2">
      <c r="B18" s="6"/>
      <c r="C18" s="3"/>
      <c r="D18" s="3"/>
      <c r="E18" s="3"/>
      <c r="F18" s="3"/>
      <c r="G18" s="3"/>
      <c r="H18" s="3"/>
      <c r="I18" s="3"/>
      <c r="J18" s="3"/>
      <c r="K18" s="3"/>
      <c r="L18" s="7"/>
    </row>
    <row r="19" spans="2:12" ht="16" thickBot="1" x14ac:dyDescent="0.25">
      <c r="B19" s="10"/>
      <c r="C19" s="11"/>
      <c r="D19" s="11"/>
      <c r="E19" s="12" t="s">
        <v>11</v>
      </c>
      <c r="F19" s="12"/>
      <c r="G19" s="13">
        <f>G17+I17+K17+L17</f>
        <v>2.4669836895134081</v>
      </c>
      <c r="H19" s="13"/>
      <c r="I19" s="11"/>
      <c r="J19" s="11"/>
      <c r="K19" s="11"/>
      <c r="L19" s="14"/>
    </row>
  </sheetData>
  <mergeCells count="3">
    <mergeCell ref="I17:J17"/>
    <mergeCell ref="G4:H4"/>
    <mergeCell ref="D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9"/>
  <sheetViews>
    <sheetView topLeftCell="A2" workbookViewId="0">
      <selection activeCell="E24" sqref="E24"/>
    </sheetView>
  </sheetViews>
  <sheetFormatPr baseColWidth="10" defaultColWidth="9" defaultRowHeight="15" x14ac:dyDescent="0.2"/>
  <cols>
    <col min="1" max="1" width="2.83203125" style="1" customWidth="1"/>
    <col min="2" max="2" width="29" style="1" bestFit="1" customWidth="1"/>
    <col min="3" max="3" width="9" style="1"/>
    <col min="4" max="4" width="19.33203125" style="1" bestFit="1" customWidth="1"/>
    <col min="5" max="5" width="18.83203125" style="1" bestFit="1" customWidth="1"/>
    <col min="6" max="6" width="9" style="1"/>
    <col min="7" max="8" width="10" style="1" bestFit="1" customWidth="1"/>
    <col min="9" max="9" width="9.1640625" style="1" bestFit="1" customWidth="1"/>
    <col min="10" max="10" width="9.1640625" style="1" customWidth="1"/>
    <col min="11" max="11" width="12.83203125" style="1" bestFit="1" customWidth="1"/>
    <col min="12" max="12" width="13.6640625" style="1" bestFit="1" customWidth="1"/>
    <col min="13" max="13" width="8.33203125" style="1" customWidth="1"/>
    <col min="14" max="14" width="11.6640625" style="1" customWidth="1"/>
    <col min="15" max="16384" width="9" style="1"/>
  </cols>
  <sheetData>
    <row r="3" spans="2:14" ht="16" thickBot="1" x14ac:dyDescent="0.25"/>
    <row r="4" spans="2:14" x14ac:dyDescent="0.2">
      <c r="B4" s="18" t="s">
        <v>13</v>
      </c>
      <c r="C4" s="19"/>
      <c r="D4" s="19" t="s">
        <v>0</v>
      </c>
      <c r="E4" s="19" t="s">
        <v>1</v>
      </c>
      <c r="F4" s="19"/>
      <c r="G4" s="19" t="s">
        <v>2</v>
      </c>
      <c r="H4" s="19" t="s">
        <v>3</v>
      </c>
      <c r="I4" s="19" t="s">
        <v>4</v>
      </c>
      <c r="J4" s="19" t="s">
        <v>10</v>
      </c>
      <c r="K4" s="19" t="s">
        <v>5</v>
      </c>
      <c r="L4" s="19" t="s">
        <v>12</v>
      </c>
      <c r="M4" s="19" t="s">
        <v>6</v>
      </c>
      <c r="N4" s="20" t="s">
        <v>7</v>
      </c>
    </row>
    <row r="5" spans="2:14" x14ac:dyDescent="0.2">
      <c r="B5" s="8"/>
      <c r="C5" s="4"/>
      <c r="D5" s="4" t="s">
        <v>8</v>
      </c>
      <c r="E5" s="4" t="s">
        <v>8</v>
      </c>
      <c r="F5" s="4"/>
      <c r="G5" s="4" t="s">
        <v>8</v>
      </c>
      <c r="H5" s="4" t="s">
        <v>8</v>
      </c>
      <c r="I5" s="4" t="s">
        <v>8</v>
      </c>
      <c r="J5" s="4" t="s">
        <v>8</v>
      </c>
      <c r="K5" s="4" t="s">
        <v>8</v>
      </c>
      <c r="L5" s="4" t="s">
        <v>8</v>
      </c>
      <c r="M5" s="4" t="s">
        <v>8</v>
      </c>
      <c r="N5" s="9" t="s">
        <v>8</v>
      </c>
    </row>
    <row r="6" spans="2:14" ht="16" thickBot="1" x14ac:dyDescent="0.25">
      <c r="B6" s="2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2"/>
    </row>
    <row r="7" spans="2:14" x14ac:dyDescent="0.2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</row>
    <row r="8" spans="2:14" x14ac:dyDescent="0.2">
      <c r="B8" s="6" t="s">
        <v>9</v>
      </c>
      <c r="C8" s="3"/>
      <c r="D8" s="3">
        <f>'[1]Mota Paddy'!$AC$40+'[1]Dalua Paddy '!$AC$40+'[1]Mota Discolour Paddy '!$AC$40</f>
        <v>16267.653999999999</v>
      </c>
      <c r="E8" s="3">
        <f>'[1]Sarna  Paddy  '!$AG$40+'[1]HMT Komal Paddy '!$AC$40+'[1]Sarna Discolour Paddy  '!$AC$40</f>
        <v>3735.1914662020909</v>
      </c>
      <c r="F8" s="3"/>
      <c r="G8" s="3">
        <f>'[3]Usna Rice'!$R$42-('[3]Usna Rice'!$M$42+'[3]Usna Rice'!$N$42+'[3]Usna Rice'!$O$42)*50/100</f>
        <v>10716.41</v>
      </c>
      <c r="H8" s="3">
        <f>'[3]Sortex Broken Rice'!$I$41</f>
        <v>540</v>
      </c>
      <c r="I8" s="3">
        <f>'[3]Pin Broken Rice '!$I$41</f>
        <v>75.5</v>
      </c>
      <c r="J8" s="3">
        <f>[3]Khanda!$I$41</f>
        <v>930</v>
      </c>
      <c r="K8" s="3">
        <f>'[3]Rejection Rice 1 No  '!$I$41</f>
        <v>1753.5</v>
      </c>
      <c r="L8" s="3">
        <f>'[3]Rejection Rice 2 No'!$H$41</f>
        <v>73</v>
      </c>
      <c r="M8" s="3">
        <f>[3]Rafi!$H$41</f>
        <v>130.5</v>
      </c>
      <c r="N8" s="7">
        <f>[3]Bran!$H$41</f>
        <v>841</v>
      </c>
    </row>
    <row r="9" spans="2:14" ht="32" x14ac:dyDescent="0.2">
      <c r="B9" s="57" t="s">
        <v>72</v>
      </c>
      <c r="C9" s="3"/>
      <c r="D9" s="28">
        <f>(800+400+800+6400+800)*40/100</f>
        <v>3680</v>
      </c>
      <c r="E9" s="28"/>
      <c r="F9" s="56"/>
      <c r="G9" s="28">
        <f>(125+150)*50/100</f>
        <v>137.5</v>
      </c>
      <c r="H9" s="28">
        <f>90*50/100</f>
        <v>45</v>
      </c>
      <c r="I9" s="28">
        <f>120*50/100</f>
        <v>60</v>
      </c>
      <c r="J9" s="28"/>
      <c r="K9" s="28">
        <f>300*50/100</f>
        <v>150</v>
      </c>
      <c r="L9" s="28"/>
      <c r="M9" s="28">
        <f>30*50/100</f>
        <v>15</v>
      </c>
      <c r="N9" s="59">
        <f>15*50/100</f>
        <v>7.5</v>
      </c>
    </row>
    <row r="10" spans="2:14" x14ac:dyDescent="0.2">
      <c r="B10" s="6" t="s">
        <v>73</v>
      </c>
      <c r="C10" s="3"/>
      <c r="D10" s="56" t="s">
        <v>46</v>
      </c>
      <c r="E10" s="56" t="s">
        <v>46</v>
      </c>
      <c r="F10" s="3"/>
      <c r="G10" s="3">
        <f>'[3]Usna Rice'!$R$9-('[3]Usna Rice'!$M$9+'[3]Usna Rice'!$N$9+'[3]Usna Rice'!$O$9*50/100)</f>
        <v>189.2</v>
      </c>
      <c r="H10" s="3">
        <f>'[3]Sortex Broken Rice'!$I$9</f>
        <v>90.5</v>
      </c>
      <c r="I10" s="3">
        <f>'[3]Pin Broken Rice '!$I$9</f>
        <v>40</v>
      </c>
      <c r="J10" s="3">
        <f>[3]Khanda!$I$9</f>
        <v>198</v>
      </c>
      <c r="K10" s="3">
        <f>'[3]Rejection Rice 1 No  '!$I$9</f>
        <v>303.5</v>
      </c>
      <c r="L10" s="3">
        <f>'[3]Rejection Rice 2 No'!$H$9</f>
        <v>0</v>
      </c>
      <c r="M10" s="3">
        <f>[3]Rafi!$H$9</f>
        <v>10</v>
      </c>
      <c r="N10" s="7">
        <f>[3]Bran!$H$9</f>
        <v>0</v>
      </c>
    </row>
    <row r="11" spans="2:14" x14ac:dyDescent="0.2">
      <c r="B11" s="6" t="s">
        <v>74</v>
      </c>
      <c r="C11" s="3"/>
      <c r="D11" s="60" t="s">
        <v>46</v>
      </c>
      <c r="E11" s="56" t="s">
        <v>46</v>
      </c>
      <c r="F11" s="3"/>
      <c r="G11" s="28">
        <f>('[3]Usna Rice'!$E$18+'[3]Usna Rice'!$L$35)*50/100</f>
        <v>305</v>
      </c>
      <c r="H11" s="28"/>
      <c r="I11" s="28"/>
      <c r="J11" s="28">
        <f>([3]Khanda!$D$19+[3]Khanda!$D$39)*50/100</f>
        <v>500</v>
      </c>
      <c r="K11" s="28"/>
      <c r="L11" s="28"/>
      <c r="M11" s="28"/>
      <c r="N11" s="59"/>
    </row>
    <row r="12" spans="2:14" x14ac:dyDescent="0.2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</row>
    <row r="13" spans="2:14" s="2" customFormat="1" x14ac:dyDescent="0.2">
      <c r="B13" s="8" t="s">
        <v>62</v>
      </c>
      <c r="C13" s="4"/>
      <c r="D13" s="4">
        <f>D8-D9</f>
        <v>12587.653999999999</v>
      </c>
      <c r="E13" s="4">
        <f>E8-E9</f>
        <v>3735.1914662020909</v>
      </c>
      <c r="F13" s="4"/>
      <c r="G13" s="4">
        <f>G8-G10+G9-G11</f>
        <v>10359.709999999999</v>
      </c>
      <c r="H13" s="4">
        <f t="shared" ref="H13:N13" si="0">H8-H10+H9-H11</f>
        <v>494.5</v>
      </c>
      <c r="I13" s="4">
        <f t="shared" si="0"/>
        <v>95.5</v>
      </c>
      <c r="J13" s="4">
        <f t="shared" si="0"/>
        <v>232</v>
      </c>
      <c r="K13" s="4">
        <f t="shared" si="0"/>
        <v>1600</v>
      </c>
      <c r="L13" s="4">
        <f t="shared" si="0"/>
        <v>73</v>
      </c>
      <c r="M13" s="4">
        <f t="shared" si="0"/>
        <v>135.5</v>
      </c>
      <c r="N13" s="4">
        <f t="shared" si="0"/>
        <v>848.5</v>
      </c>
    </row>
    <row r="14" spans="2:14" x14ac:dyDescent="0.2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</row>
    <row r="15" spans="2:14" x14ac:dyDescent="0.2">
      <c r="B15" s="8" t="s">
        <v>11</v>
      </c>
      <c r="C15" s="3"/>
      <c r="D15" s="125">
        <f>D13+E13</f>
        <v>16322.845466202089</v>
      </c>
      <c r="E15" s="126"/>
      <c r="F15" s="3"/>
      <c r="G15" s="3"/>
      <c r="H15" s="3"/>
      <c r="I15" s="3"/>
      <c r="J15" s="3"/>
      <c r="K15" s="3"/>
      <c r="L15" s="3"/>
      <c r="M15" s="3"/>
      <c r="N15" s="7"/>
    </row>
    <row r="16" spans="2:14" x14ac:dyDescent="0.2">
      <c r="B16" s="6"/>
      <c r="C16" s="3"/>
      <c r="D16" s="3"/>
      <c r="E16" s="3"/>
      <c r="F16" s="3"/>
      <c r="G16" s="5">
        <f>G13/$D$15</f>
        <v>0.63467549340283258</v>
      </c>
      <c r="H16" s="5">
        <f t="shared" ref="H16:N16" si="1">H13/$D$15</f>
        <v>3.0294963033492321E-2</v>
      </c>
      <c r="I16" s="5">
        <f t="shared" si="1"/>
        <v>5.8506955908968995E-3</v>
      </c>
      <c r="J16" s="5">
        <f t="shared" si="1"/>
        <v>1.4213208137047965E-2</v>
      </c>
      <c r="K16" s="5">
        <f t="shared" si="1"/>
        <v>9.8022125083089412E-2</v>
      </c>
      <c r="L16" s="5">
        <f t="shared" si="1"/>
        <v>4.472259456915954E-3</v>
      </c>
      <c r="M16" s="5">
        <f t="shared" si="1"/>
        <v>8.3012487179741339E-3</v>
      </c>
      <c r="N16" s="5">
        <f t="shared" si="1"/>
        <v>5.1982358208125856E-2</v>
      </c>
    </row>
    <row r="17" spans="2:14" x14ac:dyDescent="0.2">
      <c r="B17" s="6"/>
      <c r="C17" s="3"/>
      <c r="D17" s="3"/>
      <c r="E17" s="3"/>
      <c r="F17" s="3"/>
      <c r="G17" s="23">
        <f>G16</f>
        <v>0.63467549340283258</v>
      </c>
      <c r="H17" s="121">
        <f>H16+I16+J16</f>
        <v>5.0358866761437179E-2</v>
      </c>
      <c r="I17" s="122"/>
      <c r="J17" s="122"/>
      <c r="K17" s="23">
        <f>K16</f>
        <v>9.8022125083089412E-2</v>
      </c>
      <c r="L17" s="23">
        <f t="shared" ref="L17:N17" si="2">L16</f>
        <v>4.472259456915954E-3</v>
      </c>
      <c r="M17" s="23">
        <f t="shared" si="2"/>
        <v>8.3012487179741339E-3</v>
      </c>
      <c r="N17" s="25">
        <f t="shared" si="2"/>
        <v>5.1982358208125856E-2</v>
      </c>
    </row>
    <row r="18" spans="2:14" x14ac:dyDescent="0.2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7"/>
    </row>
    <row r="19" spans="2:14" ht="16" thickBot="1" x14ac:dyDescent="0.25">
      <c r="B19" s="10"/>
      <c r="C19" s="11"/>
      <c r="D19" s="11"/>
      <c r="E19" s="12" t="s">
        <v>11</v>
      </c>
      <c r="F19" s="12"/>
      <c r="G19" s="13">
        <f>G17+H17+K17+L17+M17+N17</f>
        <v>0.84781235163037505</v>
      </c>
      <c r="H19" s="11"/>
      <c r="I19" s="11"/>
      <c r="J19" s="11"/>
      <c r="K19" s="11"/>
      <c r="L19" s="11"/>
      <c r="M19" s="11"/>
      <c r="N19" s="14"/>
    </row>
  </sheetData>
  <mergeCells count="2">
    <mergeCell ref="H17:J17"/>
    <mergeCell ref="D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F529-F502-4011-B086-49D6BEDBAE3B}">
  <dimension ref="B3:AE39"/>
  <sheetViews>
    <sheetView tabSelected="1" topLeftCell="A20" workbookViewId="0">
      <selection activeCell="K31" sqref="K31"/>
    </sheetView>
  </sheetViews>
  <sheetFormatPr baseColWidth="10" defaultColWidth="9" defaultRowHeight="15" x14ac:dyDescent="0.2"/>
  <cols>
    <col min="1" max="1" width="6.6640625" style="1" customWidth="1"/>
    <col min="2" max="3" width="9" style="1"/>
    <col min="4" max="4" width="16.5" style="1" bestFit="1" customWidth="1"/>
    <col min="5" max="9" width="9" style="1"/>
    <col min="10" max="10" width="15.1640625" style="1" customWidth="1"/>
    <col min="11" max="14" width="9" style="1"/>
    <col min="15" max="15" width="10.1640625" style="1" bestFit="1" customWidth="1"/>
    <col min="16" max="16" width="10.6640625" style="1" bestFit="1" customWidth="1"/>
    <col min="17" max="21" width="9" style="1"/>
    <col min="22" max="22" width="10.1640625" style="1" bestFit="1" customWidth="1"/>
    <col min="23" max="24" width="9" style="1"/>
    <col min="25" max="25" width="11.33203125" style="1" bestFit="1" customWidth="1"/>
    <col min="26" max="29" width="9" style="1"/>
    <col min="30" max="30" width="10" style="1" bestFit="1" customWidth="1"/>
    <col min="31" max="16384" width="9" style="1"/>
  </cols>
  <sheetData>
    <row r="3" spans="2:31" ht="16" thickBot="1" x14ac:dyDescent="0.25"/>
    <row r="4" spans="2:31" ht="48" x14ac:dyDescent="0.2">
      <c r="B4" s="18" t="s">
        <v>16</v>
      </c>
      <c r="C4" s="34"/>
      <c r="D4" s="31" t="s">
        <v>23</v>
      </c>
      <c r="E4" s="34"/>
      <c r="F4" s="31" t="s">
        <v>24</v>
      </c>
      <c r="G4" s="31" t="s">
        <v>25</v>
      </c>
      <c r="H4" s="31" t="s">
        <v>26</v>
      </c>
      <c r="I4" s="31" t="s">
        <v>27</v>
      </c>
      <c r="J4" s="31" t="s">
        <v>28</v>
      </c>
      <c r="K4" s="31" t="s">
        <v>29</v>
      </c>
      <c r="L4" s="31" t="s">
        <v>30</v>
      </c>
      <c r="M4" s="31" t="s">
        <v>31</v>
      </c>
      <c r="N4" s="32"/>
      <c r="O4" s="53"/>
      <c r="P4" s="129" t="s">
        <v>32</v>
      </c>
      <c r="Q4" s="130"/>
      <c r="S4" s="30" t="s">
        <v>54</v>
      </c>
      <c r="T4" s="31" t="s">
        <v>55</v>
      </c>
      <c r="U4" s="31" t="s">
        <v>56</v>
      </c>
      <c r="V4" s="31" t="s">
        <v>57</v>
      </c>
      <c r="W4" s="31" t="s">
        <v>58</v>
      </c>
      <c r="X4" s="31" t="s">
        <v>59</v>
      </c>
      <c r="Y4" s="31" t="s">
        <v>60</v>
      </c>
      <c r="Z4" s="53"/>
      <c r="AA4" s="127" t="s">
        <v>32</v>
      </c>
      <c r="AB4" s="128"/>
      <c r="AD4" s="131" t="s">
        <v>61</v>
      </c>
      <c r="AE4" s="128"/>
    </row>
    <row r="5" spans="2:31" ht="17" thickBot="1" x14ac:dyDescent="0.25">
      <c r="B5" s="8"/>
      <c r="C5" s="3"/>
      <c r="D5" s="33"/>
      <c r="E5" s="3"/>
      <c r="F5" s="33" t="s">
        <v>33</v>
      </c>
      <c r="G5" s="33" t="s">
        <v>33</v>
      </c>
      <c r="H5" s="33" t="s">
        <v>33</v>
      </c>
      <c r="I5" s="33" t="s">
        <v>33</v>
      </c>
      <c r="J5" s="33" t="s">
        <v>33</v>
      </c>
      <c r="K5" s="33" t="s">
        <v>33</v>
      </c>
      <c r="L5" s="33" t="s">
        <v>33</v>
      </c>
      <c r="M5" s="33" t="s">
        <v>33</v>
      </c>
      <c r="N5" s="29"/>
      <c r="O5" s="7"/>
      <c r="P5" s="42" t="s">
        <v>33</v>
      </c>
      <c r="Q5" s="40" t="s">
        <v>34</v>
      </c>
      <c r="S5" s="54" t="s">
        <v>33</v>
      </c>
      <c r="T5" s="36" t="s">
        <v>33</v>
      </c>
      <c r="U5" s="36" t="s">
        <v>33</v>
      </c>
      <c r="V5" s="36" t="s">
        <v>33</v>
      </c>
      <c r="W5" s="36" t="s">
        <v>33</v>
      </c>
      <c r="X5" s="36" t="s">
        <v>33</v>
      </c>
      <c r="Y5" s="36" t="s">
        <v>33</v>
      </c>
      <c r="Z5" s="14"/>
      <c r="AA5" s="49" t="s">
        <v>33</v>
      </c>
      <c r="AB5" s="38" t="s">
        <v>34</v>
      </c>
      <c r="AD5" s="55" t="s">
        <v>33</v>
      </c>
      <c r="AE5" s="35" t="s">
        <v>34</v>
      </c>
    </row>
    <row r="6" spans="2:31" x14ac:dyDescent="0.2"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7"/>
      <c r="P6" s="45"/>
      <c r="Q6" s="7"/>
      <c r="S6" s="15"/>
      <c r="T6" s="16"/>
      <c r="U6" s="16"/>
      <c r="V6" s="16"/>
      <c r="W6" s="16"/>
      <c r="X6" s="16"/>
      <c r="Y6" s="16"/>
      <c r="Z6" s="17"/>
      <c r="AA6" s="44"/>
      <c r="AB6" s="17"/>
      <c r="AD6" s="6"/>
      <c r="AE6" s="7"/>
    </row>
    <row r="7" spans="2:31" x14ac:dyDescent="0.2">
      <c r="B7" s="6">
        <v>1</v>
      </c>
      <c r="C7" s="3"/>
      <c r="D7" s="3" t="s">
        <v>17</v>
      </c>
      <c r="E7" s="3"/>
      <c r="F7" s="3">
        <f>'[1]Dalua Paddy '!O40</f>
        <v>0</v>
      </c>
      <c r="G7" s="3">
        <f>'[1]Dalua Paddy '!P40</f>
        <v>0</v>
      </c>
      <c r="H7" s="3">
        <f>'[1]Dalua Paddy '!Q40</f>
        <v>0</v>
      </c>
      <c r="I7" s="3">
        <f>'[1]Dalua Paddy '!R40</f>
        <v>0</v>
      </c>
      <c r="J7" s="3">
        <f>'[1]Dalua Paddy '!S40</f>
        <v>0</v>
      </c>
      <c r="K7" s="3">
        <f>'[1]Dalua Paddy '!T40</f>
        <v>0</v>
      </c>
      <c r="L7" s="3">
        <f>'[1]Dalua Paddy '!U40</f>
        <v>0</v>
      </c>
      <c r="M7" s="3">
        <f>'[1]Dalua Paddy '!V40</f>
        <v>0</v>
      </c>
      <c r="N7" s="3"/>
      <c r="O7" s="7"/>
      <c r="P7" s="51">
        <f>'[1]Dalua Paddy '!$X$40</f>
        <v>0</v>
      </c>
      <c r="Q7" s="9">
        <f>'[1]Dalua Paddy '!$Y$40</f>
        <v>0</v>
      </c>
      <c r="S7" s="6">
        <v>800</v>
      </c>
      <c r="T7" s="3">
        <v>800</v>
      </c>
      <c r="U7" s="3">
        <v>800</v>
      </c>
      <c r="V7" s="3">
        <v>5600</v>
      </c>
      <c r="W7" s="3">
        <v>400</v>
      </c>
      <c r="X7" s="3">
        <v>800</v>
      </c>
      <c r="Y7" s="3"/>
      <c r="Z7" s="7"/>
      <c r="AA7" s="51">
        <f t="shared" ref="AA7:AA12" si="0">SUM(S7:Z7)</f>
        <v>9200</v>
      </c>
      <c r="AB7" s="9">
        <f>AA7*40/100</f>
        <v>3680</v>
      </c>
      <c r="AD7" s="6">
        <f>P7+AA7</f>
        <v>9200</v>
      </c>
      <c r="AE7" s="7">
        <f>Q7+AB7</f>
        <v>3680</v>
      </c>
    </row>
    <row r="8" spans="2:31" x14ac:dyDescent="0.2">
      <c r="B8" s="6">
        <v>2</v>
      </c>
      <c r="C8" s="3"/>
      <c r="D8" s="3" t="s">
        <v>18</v>
      </c>
      <c r="E8" s="3"/>
      <c r="F8" s="117">
        <f>'[1]Mota Paddy'!O40</f>
        <v>37401</v>
      </c>
      <c r="G8" s="3">
        <f>'[1]Mota Paddy'!P40</f>
        <v>0</v>
      </c>
      <c r="H8" s="117">
        <f>'[1]Mota Paddy'!Q40</f>
        <v>2365</v>
      </c>
      <c r="I8" s="117">
        <f>'[1]Mota Paddy'!R40</f>
        <v>555</v>
      </c>
      <c r="J8" s="3">
        <f>'[1]Mota Paddy'!S40</f>
        <v>0</v>
      </c>
      <c r="K8" s="117">
        <f>'[1]Mota Paddy'!T40</f>
        <v>1000</v>
      </c>
      <c r="L8" s="3">
        <f>'[1]Mota Paddy'!U40</f>
        <v>0</v>
      </c>
      <c r="M8" s="3">
        <f>'[1]Mota Paddy'!V40</f>
        <v>0</v>
      </c>
      <c r="N8" s="3"/>
      <c r="O8" s="7"/>
      <c r="P8" s="51">
        <f>'[1]Mota Paddy'!$X$40</f>
        <v>41321</v>
      </c>
      <c r="Q8" s="9">
        <f>'[1]Mota Paddy'!$Y$40</f>
        <v>16523.550000000003</v>
      </c>
      <c r="S8" s="6"/>
      <c r="T8" s="3"/>
      <c r="U8" s="3"/>
      <c r="V8" s="3"/>
      <c r="W8" s="3"/>
      <c r="X8" s="3"/>
      <c r="Y8" s="3"/>
      <c r="Z8" s="7"/>
      <c r="AA8" s="51">
        <f t="shared" si="0"/>
        <v>0</v>
      </c>
      <c r="AB8" s="9">
        <f t="shared" ref="AB8:AB12" si="1">AA8*40/100</f>
        <v>0</v>
      </c>
      <c r="AD8" s="6">
        <f t="shared" ref="AD8:AD12" si="2">P8+AA8</f>
        <v>41321</v>
      </c>
      <c r="AE8" s="7">
        <f t="shared" ref="AE8:AE12" si="3">Q8+AB8</f>
        <v>16523.550000000003</v>
      </c>
    </row>
    <row r="9" spans="2:31" x14ac:dyDescent="0.2">
      <c r="B9" s="6">
        <v>3</v>
      </c>
      <c r="C9" s="3"/>
      <c r="D9" s="3" t="s">
        <v>19</v>
      </c>
      <c r="E9" s="3"/>
      <c r="F9" s="117">
        <f>'[1]Sarna  Paddy  '!O40</f>
        <v>2480</v>
      </c>
      <c r="G9" s="117">
        <f>'[1]Sarna  Paddy  '!P40</f>
        <v>12178</v>
      </c>
      <c r="H9" s="56">
        <f>'[1]Sarna  Paddy  '!Q40</f>
        <v>0</v>
      </c>
      <c r="I9" s="56">
        <f>'[1]Sarna  Paddy  '!R40</f>
        <v>0</v>
      </c>
      <c r="J9" s="56">
        <f>'[1]Sarna  Paddy  '!S40</f>
        <v>0</v>
      </c>
      <c r="K9" s="117">
        <f>'[1]Sarna  Paddy  '!T40</f>
        <v>5800</v>
      </c>
      <c r="L9" s="56">
        <f>'[1]Sarna  Paddy  '!U40</f>
        <v>0</v>
      </c>
      <c r="M9" s="56">
        <f>'[1]Sarna  Paddy  '!V40</f>
        <v>0</v>
      </c>
      <c r="N9" s="3"/>
      <c r="O9" s="7"/>
      <c r="P9" s="51">
        <f>'[1]Sarna  Paddy  '!$X$40</f>
        <v>20458</v>
      </c>
      <c r="Q9" s="9">
        <f>'[1]Sarna  Paddy  '!$Y$40</f>
        <v>8172.61</v>
      </c>
      <c r="S9" s="6"/>
      <c r="T9" s="3"/>
      <c r="U9" s="3"/>
      <c r="V9" s="3"/>
      <c r="W9" s="3"/>
      <c r="X9" s="3"/>
      <c r="Y9" s="3"/>
      <c r="Z9" s="7"/>
      <c r="AA9" s="51">
        <f t="shared" si="0"/>
        <v>0</v>
      </c>
      <c r="AB9" s="9">
        <f t="shared" si="1"/>
        <v>0</v>
      </c>
      <c r="AD9" s="6">
        <f t="shared" si="2"/>
        <v>20458</v>
      </c>
      <c r="AE9" s="7">
        <f t="shared" si="3"/>
        <v>8172.61</v>
      </c>
    </row>
    <row r="10" spans="2:31" x14ac:dyDescent="0.2">
      <c r="B10" s="6">
        <v>4</v>
      </c>
      <c r="C10" s="3"/>
      <c r="D10" s="3" t="s">
        <v>20</v>
      </c>
      <c r="E10" s="3"/>
      <c r="F10" s="3">
        <f>'[1]HMT Komal Paddy '!O40</f>
        <v>0</v>
      </c>
      <c r="G10" s="3">
        <f>'[1]HMT Komal Paddy '!P40</f>
        <v>0</v>
      </c>
      <c r="H10" s="3">
        <f>'[1]HMT Komal Paddy '!Q40</f>
        <v>0</v>
      </c>
      <c r="I10" s="3">
        <f>'[1]HMT Komal Paddy '!R40</f>
        <v>0</v>
      </c>
      <c r="J10" s="3">
        <f>'[1]HMT Komal Paddy '!S40</f>
        <v>0</v>
      </c>
      <c r="K10" s="3">
        <f>'[1]HMT Komal Paddy '!T40</f>
        <v>0</v>
      </c>
      <c r="L10" s="3">
        <f>'[1]HMT Komal Paddy '!U40</f>
        <v>0</v>
      </c>
      <c r="M10" s="3">
        <f>'[1]HMT Komal Paddy '!V40</f>
        <v>0</v>
      </c>
      <c r="N10" s="3"/>
      <c r="O10" s="7"/>
      <c r="P10" s="51">
        <f>'[1]HMT Komal Paddy '!$X$40</f>
        <v>0</v>
      </c>
      <c r="Q10" s="9">
        <f>'[1]HMT Komal Paddy '!$Y$40</f>
        <v>0</v>
      </c>
      <c r="S10" s="6"/>
      <c r="T10" s="3"/>
      <c r="U10" s="3"/>
      <c r="V10" s="3"/>
      <c r="W10" s="3"/>
      <c r="X10" s="3"/>
      <c r="Y10" s="3"/>
      <c r="Z10" s="7"/>
      <c r="AA10" s="51">
        <f t="shared" si="0"/>
        <v>0</v>
      </c>
      <c r="AB10" s="9">
        <f t="shared" si="1"/>
        <v>0</v>
      </c>
      <c r="AD10" s="6">
        <f t="shared" si="2"/>
        <v>0</v>
      </c>
      <c r="AE10" s="7">
        <f t="shared" si="3"/>
        <v>0</v>
      </c>
    </row>
    <row r="11" spans="2:31" x14ac:dyDescent="0.2">
      <c r="B11" s="6">
        <v>5</v>
      </c>
      <c r="C11" s="3"/>
      <c r="D11" s="3" t="s">
        <v>21</v>
      </c>
      <c r="E11" s="3"/>
      <c r="F11" s="3">
        <f>'[1]Mota Discolour Paddy '!O40</f>
        <v>0</v>
      </c>
      <c r="G11" s="3">
        <f>'[1]Mota Discolour Paddy '!P40</f>
        <v>0</v>
      </c>
      <c r="H11" s="116">
        <f>'[1]Mota Discolour Paddy '!Q40</f>
        <v>-15</v>
      </c>
      <c r="I11" s="3">
        <f>'[1]Mota Discolour Paddy '!R40</f>
        <v>0</v>
      </c>
      <c r="J11" s="3">
        <f>'[1]Mota Discolour Paddy '!S40</f>
        <v>0</v>
      </c>
      <c r="K11" s="3">
        <f>'[1]Mota Discolour Paddy '!T40</f>
        <v>0</v>
      </c>
      <c r="L11" s="3">
        <f>'[1]Mota Discolour Paddy '!U40</f>
        <v>0</v>
      </c>
      <c r="M11" s="3">
        <f>'[1]Mota Discolour Paddy '!V40</f>
        <v>0</v>
      </c>
      <c r="N11" s="3"/>
      <c r="O11" s="7"/>
      <c r="P11" s="51">
        <f>'[1]Mota Discolour Paddy '!$X$40</f>
        <v>-15</v>
      </c>
      <c r="Q11" s="9">
        <f>'[1]Mota Discolour Paddy '!$Y$40</f>
        <v>-6</v>
      </c>
      <c r="S11" s="6"/>
      <c r="T11" s="3"/>
      <c r="U11" s="3"/>
      <c r="V11" s="3"/>
      <c r="W11" s="3"/>
      <c r="X11" s="3"/>
      <c r="Y11" s="3"/>
      <c r="Z11" s="7"/>
      <c r="AA11" s="51">
        <f t="shared" si="0"/>
        <v>0</v>
      </c>
      <c r="AB11" s="9">
        <f t="shared" si="1"/>
        <v>0</v>
      </c>
      <c r="AD11" s="6">
        <f t="shared" si="2"/>
        <v>-15</v>
      </c>
      <c r="AE11" s="7">
        <f t="shared" si="3"/>
        <v>-6</v>
      </c>
    </row>
    <row r="12" spans="2:31" ht="16" thickBot="1" x14ac:dyDescent="0.25">
      <c r="B12" s="10">
        <v>6</v>
      </c>
      <c r="C12" s="11"/>
      <c r="D12" s="11" t="s">
        <v>22</v>
      </c>
      <c r="E12" s="11"/>
      <c r="F12" s="118">
        <f>'[1]Sarna Discolour Paddy  '!O40</f>
        <v>790</v>
      </c>
      <c r="G12" s="63">
        <f>'[1]Sarna Discolour Paddy  '!P40</f>
        <v>0</v>
      </c>
      <c r="H12" s="63">
        <f>'[1]Sarna Discolour Paddy  '!Q40</f>
        <v>0</v>
      </c>
      <c r="I12" s="63">
        <f>'[1]Sarna Discolour Paddy  '!R40</f>
        <v>0</v>
      </c>
      <c r="J12" s="63">
        <f>'[1]Sarna Discolour Paddy  '!S40</f>
        <v>0</v>
      </c>
      <c r="K12" s="63">
        <f>'[1]Sarna Discolour Paddy  '!T40</f>
        <v>0</v>
      </c>
      <c r="L12" s="63">
        <f>'[1]Sarna Discolour Paddy  '!U40</f>
        <v>0</v>
      </c>
      <c r="M12" s="63">
        <f>'[1]Sarna Discolour Paddy  '!V40</f>
        <v>0</v>
      </c>
      <c r="N12" s="11"/>
      <c r="O12" s="14"/>
      <c r="P12" s="52">
        <f>'[1]Sarna Discolour Paddy  '!$X$40</f>
        <v>790</v>
      </c>
      <c r="Q12" s="22">
        <f>'[1]Sarna Discolour Paddy  '!$Y$40</f>
        <v>316</v>
      </c>
      <c r="S12" s="10"/>
      <c r="T12" s="11"/>
      <c r="U12" s="11"/>
      <c r="V12" s="11"/>
      <c r="W12" s="11"/>
      <c r="X12" s="11"/>
      <c r="Y12" s="11"/>
      <c r="Z12" s="14"/>
      <c r="AA12" s="52">
        <f t="shared" si="0"/>
        <v>0</v>
      </c>
      <c r="AB12" s="22">
        <f t="shared" si="1"/>
        <v>0</v>
      </c>
      <c r="AD12" s="10">
        <f t="shared" si="2"/>
        <v>790</v>
      </c>
      <c r="AE12" s="14">
        <f t="shared" si="3"/>
        <v>316</v>
      </c>
    </row>
    <row r="13" spans="2:31" ht="16" thickBot="1" x14ac:dyDescent="0.25">
      <c r="O13" s="65" t="s">
        <v>61</v>
      </c>
      <c r="P13" s="66">
        <f>SUM(P7:P12)</f>
        <v>62554</v>
      </c>
      <c r="Q13" s="67">
        <f>SUM(Q7:Q12)</f>
        <v>25006.160000000003</v>
      </c>
    </row>
    <row r="14" spans="2:31" ht="16" thickBot="1" x14ac:dyDescent="0.25"/>
    <row r="15" spans="2:31" ht="64" x14ac:dyDescent="0.2">
      <c r="B15" s="18" t="s">
        <v>16</v>
      </c>
      <c r="C15" s="34"/>
      <c r="D15" s="31" t="s">
        <v>23</v>
      </c>
      <c r="E15" s="34"/>
      <c r="F15" s="31" t="s">
        <v>37</v>
      </c>
      <c r="G15" s="31" t="s">
        <v>14</v>
      </c>
      <c r="H15" s="31" t="s">
        <v>38</v>
      </c>
      <c r="I15" s="31" t="s">
        <v>39</v>
      </c>
      <c r="J15" s="31" t="s">
        <v>40</v>
      </c>
      <c r="K15" s="31" t="s">
        <v>41</v>
      </c>
      <c r="L15" s="31" t="s">
        <v>42</v>
      </c>
      <c r="M15" s="31" t="s">
        <v>43</v>
      </c>
      <c r="N15" s="31" t="s">
        <v>44</v>
      </c>
      <c r="O15" s="46" t="s">
        <v>45</v>
      </c>
      <c r="P15" s="127" t="s">
        <v>32</v>
      </c>
      <c r="Q15" s="128"/>
    </row>
    <row r="16" spans="2:31" x14ac:dyDescent="0.2">
      <c r="B16" s="8"/>
      <c r="C16" s="3"/>
      <c r="D16" s="33"/>
      <c r="E16" s="3"/>
      <c r="F16" s="33">
        <v>50</v>
      </c>
      <c r="G16" s="33">
        <v>50</v>
      </c>
      <c r="H16" s="33">
        <v>25</v>
      </c>
      <c r="I16" s="33">
        <v>24</v>
      </c>
      <c r="J16" s="33">
        <v>23</v>
      </c>
      <c r="K16" s="33">
        <v>22</v>
      </c>
      <c r="L16" s="33">
        <v>20</v>
      </c>
      <c r="M16" s="33">
        <v>19</v>
      </c>
      <c r="N16" s="29">
        <v>50</v>
      </c>
      <c r="O16" s="47">
        <v>50</v>
      </c>
      <c r="P16" s="42"/>
      <c r="Q16" s="41"/>
    </row>
    <row r="17" spans="2:17" ht="17" thickBot="1" x14ac:dyDescent="0.25">
      <c r="B17" s="21"/>
      <c r="C17" s="11"/>
      <c r="D17" s="36"/>
      <c r="E17" s="11"/>
      <c r="F17" s="37" t="s">
        <v>33</v>
      </c>
      <c r="G17" s="37" t="s">
        <v>33</v>
      </c>
      <c r="H17" s="37" t="s">
        <v>33</v>
      </c>
      <c r="I17" s="37" t="s">
        <v>33</v>
      </c>
      <c r="J17" s="37" t="s">
        <v>33</v>
      </c>
      <c r="K17" s="37" t="s">
        <v>33</v>
      </c>
      <c r="L17" s="37" t="s">
        <v>33</v>
      </c>
      <c r="M17" s="37" t="s">
        <v>33</v>
      </c>
      <c r="N17" s="37" t="s">
        <v>33</v>
      </c>
      <c r="O17" s="48" t="s">
        <v>33</v>
      </c>
      <c r="P17" s="43" t="s">
        <v>33</v>
      </c>
      <c r="Q17" s="39" t="s">
        <v>34</v>
      </c>
    </row>
    <row r="18" spans="2:17" x14ac:dyDescent="0.2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44"/>
      <c r="Q18" s="17"/>
    </row>
    <row r="19" spans="2:17" ht="16" thickBot="1" x14ac:dyDescent="0.25">
      <c r="B19" s="6">
        <v>1</v>
      </c>
      <c r="C19" s="3"/>
      <c r="D19" s="3" t="s">
        <v>35</v>
      </c>
      <c r="E19" s="3"/>
      <c r="F19" s="118">
        <f>'[2]Arwa Rice'!AJ41</f>
        <v>637</v>
      </c>
      <c r="G19" s="69">
        <f>'[2]Arwa Rice'!AK41</f>
        <v>3680.1800000000003</v>
      </c>
      <c r="H19" s="69">
        <f>'[2]Arwa Rice'!AM41</f>
        <v>7</v>
      </c>
      <c r="I19" s="3">
        <f>'[2]Arwa Rice'!AN41</f>
        <v>0</v>
      </c>
      <c r="J19" s="3">
        <f>'[2]Arwa Rice'!AO41</f>
        <v>0</v>
      </c>
      <c r="K19" s="3">
        <f>'[2]Arwa Rice'!AP41</f>
        <v>0</v>
      </c>
      <c r="L19" s="3">
        <f>'[2]Arwa Rice'!AQ41</f>
        <v>0</v>
      </c>
      <c r="M19" s="3">
        <f>'[2]Arwa Rice'!AR41</f>
        <v>0</v>
      </c>
      <c r="N19" s="69">
        <f>'[2]Arwa Rice'!AS41</f>
        <v>1200</v>
      </c>
      <c r="O19" s="69">
        <f>'[2]Arwa Rice'!AT41</f>
        <v>670</v>
      </c>
      <c r="P19" s="51">
        <f>'[2]Arwa Rice'!$AV$41</f>
        <v>6194.18</v>
      </c>
      <c r="Q19" s="9">
        <f>'[2]Arwa Rice'!$AW$41</f>
        <v>2934.1400000000012</v>
      </c>
    </row>
    <row r="20" spans="2:17" ht="16" thickBot="1" x14ac:dyDescent="0.25">
      <c r="B20" s="6">
        <v>2</v>
      </c>
      <c r="C20" s="3"/>
      <c r="D20" s="3" t="s">
        <v>3</v>
      </c>
      <c r="E20" s="3"/>
      <c r="F20" s="3" t="s">
        <v>46</v>
      </c>
      <c r="G20" s="3" t="s">
        <v>46</v>
      </c>
      <c r="H20" s="3" t="s">
        <v>46</v>
      </c>
      <c r="I20" s="3" t="s">
        <v>46</v>
      </c>
      <c r="J20" s="3" t="s">
        <v>46</v>
      </c>
      <c r="K20" s="3" t="s">
        <v>46</v>
      </c>
      <c r="L20" s="3" t="s">
        <v>46</v>
      </c>
      <c r="M20" s="3" t="s">
        <v>46</v>
      </c>
      <c r="N20" s="118">
        <f>'[2]Broken Rice'!$S$41</f>
        <v>15.780000000000001</v>
      </c>
      <c r="O20" s="7">
        <f>'[2]Broken Rice'!$T$41</f>
        <v>0</v>
      </c>
      <c r="P20" s="51">
        <f>'[2]Broken Rice'!$U$41</f>
        <v>15.780000000000001</v>
      </c>
      <c r="Q20" s="9">
        <f>'[2]Broken Rice'!$V$41</f>
        <v>7.8900000000000006</v>
      </c>
    </row>
    <row r="21" spans="2:17" x14ac:dyDescent="0.2">
      <c r="B21" s="6">
        <v>3</v>
      </c>
      <c r="C21" s="3"/>
      <c r="D21" s="3" t="s">
        <v>36</v>
      </c>
      <c r="E21" s="3"/>
      <c r="F21" s="3" t="s">
        <v>46</v>
      </c>
      <c r="G21" s="3" t="s">
        <v>46</v>
      </c>
      <c r="H21" s="3" t="s">
        <v>46</v>
      </c>
      <c r="I21" s="3" t="s">
        <v>46</v>
      </c>
      <c r="J21" s="3" t="s">
        <v>46</v>
      </c>
      <c r="K21" s="3" t="s">
        <v>46</v>
      </c>
      <c r="L21" s="3" t="s">
        <v>46</v>
      </c>
      <c r="M21" s="3" t="s">
        <v>46</v>
      </c>
      <c r="N21" s="69">
        <f>'[2]HMT Rice'!$O$41</f>
        <v>57</v>
      </c>
      <c r="O21" s="7">
        <f>'[2]HMT Rice'!$P$41</f>
        <v>0</v>
      </c>
      <c r="P21" s="51">
        <f>'[2]HMT Rice'!$Q$41</f>
        <v>57</v>
      </c>
      <c r="Q21" s="9">
        <f>'[2]HMT Rice'!$R$41</f>
        <v>14.25</v>
      </c>
    </row>
    <row r="22" spans="2:17" x14ac:dyDescent="0.2">
      <c r="B22" s="6">
        <v>4</v>
      </c>
      <c r="C22" s="3"/>
      <c r="D22" s="3" t="s">
        <v>7</v>
      </c>
      <c r="E22" s="3"/>
      <c r="F22" s="3" t="s">
        <v>46</v>
      </c>
      <c r="G22" s="3" t="s">
        <v>46</v>
      </c>
      <c r="H22" s="3" t="s">
        <v>46</v>
      </c>
      <c r="I22" s="3" t="s">
        <v>46</v>
      </c>
      <c r="J22" s="3" t="s">
        <v>46</v>
      </c>
      <c r="K22" s="3" t="s">
        <v>46</v>
      </c>
      <c r="L22" s="3" t="s">
        <v>46</v>
      </c>
      <c r="M22" s="3" t="s">
        <v>46</v>
      </c>
      <c r="N22" s="3">
        <f>[2]Bran!$O$41</f>
        <v>0</v>
      </c>
      <c r="O22" s="7">
        <f>[2]Bran!$P$41</f>
        <v>0</v>
      </c>
      <c r="P22" s="51">
        <f>[2]Bran!$Q$41</f>
        <v>0</v>
      </c>
      <c r="Q22" s="9">
        <f>[2]Bran!$R$41</f>
        <v>0</v>
      </c>
    </row>
    <row r="23" spans="2:17" x14ac:dyDescent="0.2">
      <c r="B23" s="6">
        <v>5</v>
      </c>
      <c r="C23" s="3"/>
      <c r="D23" s="3" t="s">
        <v>10</v>
      </c>
      <c r="E23" s="3"/>
      <c r="F23" s="3" t="s">
        <v>46</v>
      </c>
      <c r="G23" s="3" t="s">
        <v>46</v>
      </c>
      <c r="H23" s="3" t="s">
        <v>46</v>
      </c>
      <c r="I23" s="3" t="s">
        <v>46</v>
      </c>
      <c r="J23" s="3" t="s">
        <v>46</v>
      </c>
      <c r="K23" s="3" t="s">
        <v>46</v>
      </c>
      <c r="L23" s="3" t="s">
        <v>46</v>
      </c>
      <c r="M23" s="3" t="s">
        <v>46</v>
      </c>
      <c r="N23" s="3">
        <f>[2]Khanda!$O$41</f>
        <v>0</v>
      </c>
      <c r="O23" s="7">
        <f>[2]Khanda!$P$41</f>
        <v>0</v>
      </c>
      <c r="P23" s="51">
        <f>[2]Khanda!$Q$41</f>
        <v>0</v>
      </c>
      <c r="Q23" s="9">
        <f>[2]Khanda!$R$41</f>
        <v>0</v>
      </c>
    </row>
    <row r="24" spans="2:17" ht="16" thickBot="1" x14ac:dyDescent="0.25">
      <c r="B24" s="10">
        <v>6</v>
      </c>
      <c r="C24" s="11"/>
      <c r="D24" s="11" t="s">
        <v>6</v>
      </c>
      <c r="E24" s="11"/>
      <c r="F24" s="11" t="s">
        <v>46</v>
      </c>
      <c r="G24" s="11" t="s">
        <v>46</v>
      </c>
      <c r="H24" s="11" t="s">
        <v>46</v>
      </c>
      <c r="I24" s="11" t="s">
        <v>46</v>
      </c>
      <c r="J24" s="11" t="s">
        <v>46</v>
      </c>
      <c r="K24" s="11" t="s">
        <v>46</v>
      </c>
      <c r="L24" s="11" t="s">
        <v>46</v>
      </c>
      <c r="M24" s="11" t="s">
        <v>46</v>
      </c>
      <c r="N24" s="118">
        <f>[2]Rafi!$O$41</f>
        <v>799.09999999999991</v>
      </c>
      <c r="O24" s="119">
        <f>[2]Rafi!$P$41</f>
        <v>35</v>
      </c>
      <c r="P24" s="52">
        <f>[2]Rafi!$Q$41</f>
        <v>834.09999999999991</v>
      </c>
      <c r="Q24" s="22">
        <f>[2]Rafi!$R$41</f>
        <v>442.24999999999994</v>
      </c>
    </row>
    <row r="25" spans="2:17" ht="16" thickBot="1" x14ac:dyDescent="0.25">
      <c r="O25" s="65" t="s">
        <v>61</v>
      </c>
      <c r="P25" s="66">
        <f>SUM(P19:P24)</f>
        <v>7101.0599999999995</v>
      </c>
      <c r="Q25" s="67">
        <f>SUM(Q19:Q24)</f>
        <v>3398.5300000000011</v>
      </c>
    </row>
    <row r="26" spans="2:17" ht="16" thickBot="1" x14ac:dyDescent="0.25"/>
    <row r="27" spans="2:17" ht="64" x14ac:dyDescent="0.2">
      <c r="B27" s="18" t="s">
        <v>16</v>
      </c>
      <c r="C27" s="34"/>
      <c r="D27" s="31" t="s">
        <v>23</v>
      </c>
      <c r="E27" s="34"/>
      <c r="F27" s="31" t="s">
        <v>47</v>
      </c>
      <c r="G27" s="31" t="s">
        <v>48</v>
      </c>
      <c r="H27" s="31" t="s">
        <v>38</v>
      </c>
      <c r="I27" s="31" t="s">
        <v>39</v>
      </c>
      <c r="J27" s="31" t="s">
        <v>40</v>
      </c>
      <c r="K27" s="31" t="s">
        <v>41</v>
      </c>
      <c r="L27" s="31" t="s">
        <v>42</v>
      </c>
      <c r="M27" s="31" t="s">
        <v>43</v>
      </c>
      <c r="N27" s="31" t="s">
        <v>44</v>
      </c>
      <c r="O27" s="46" t="s">
        <v>45</v>
      </c>
      <c r="P27" s="127" t="s">
        <v>32</v>
      </c>
      <c r="Q27" s="128"/>
    </row>
    <row r="28" spans="2:17" x14ac:dyDescent="0.2">
      <c r="B28" s="8"/>
      <c r="C28" s="3"/>
      <c r="D28" s="33"/>
      <c r="E28" s="3"/>
      <c r="F28" s="33">
        <v>50</v>
      </c>
      <c r="G28" s="33">
        <v>50</v>
      </c>
      <c r="H28" s="33">
        <v>25</v>
      </c>
      <c r="I28" s="33">
        <v>24</v>
      </c>
      <c r="J28" s="33">
        <v>23</v>
      </c>
      <c r="K28" s="33">
        <v>22</v>
      </c>
      <c r="L28" s="33">
        <v>20</v>
      </c>
      <c r="M28" s="33">
        <v>19</v>
      </c>
      <c r="N28" s="29">
        <v>50</v>
      </c>
      <c r="O28" s="47"/>
      <c r="P28" s="42"/>
      <c r="Q28" s="41"/>
    </row>
    <row r="29" spans="2:17" x14ac:dyDescent="0.2">
      <c r="B29" s="8"/>
      <c r="C29" s="3"/>
      <c r="D29" s="33"/>
      <c r="E29" s="3"/>
      <c r="F29" s="29" t="s">
        <v>33</v>
      </c>
      <c r="G29" s="29" t="s">
        <v>33</v>
      </c>
      <c r="H29" s="29" t="s">
        <v>33</v>
      </c>
      <c r="I29" s="29" t="s">
        <v>33</v>
      </c>
      <c r="J29" s="29" t="s">
        <v>33</v>
      </c>
      <c r="K29" s="29" t="s">
        <v>33</v>
      </c>
      <c r="L29" s="29" t="s">
        <v>33</v>
      </c>
      <c r="M29" s="29" t="s">
        <v>33</v>
      </c>
      <c r="N29" s="29" t="s">
        <v>33</v>
      </c>
      <c r="O29" s="47"/>
      <c r="P29" s="50" t="s">
        <v>33</v>
      </c>
      <c r="Q29" s="40" t="s">
        <v>34</v>
      </c>
    </row>
    <row r="30" spans="2:17" x14ac:dyDescent="0.2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7"/>
      <c r="P30" s="45"/>
      <c r="Q30" s="7"/>
    </row>
    <row r="31" spans="2:17" x14ac:dyDescent="0.2">
      <c r="B31" s="6">
        <v>1</v>
      </c>
      <c r="C31" s="3"/>
      <c r="D31" s="3" t="s">
        <v>49</v>
      </c>
      <c r="E31" s="3"/>
      <c r="F31" s="3">
        <f>'[3]Usna Rice'!AK42</f>
        <v>-491</v>
      </c>
      <c r="G31" s="3">
        <f>'[3]Usna Rice'!AL42</f>
        <v>442</v>
      </c>
      <c r="H31" s="3">
        <f>'[3]Usna Rice'!AM42</f>
        <v>33</v>
      </c>
      <c r="I31" s="3">
        <f>'[3]Usna Rice'!AN42</f>
        <v>0</v>
      </c>
      <c r="J31" s="3">
        <f>'[3]Usna Rice'!AO42</f>
        <v>31</v>
      </c>
      <c r="K31" s="3">
        <f>'[3]Usna Rice'!AP42</f>
        <v>0</v>
      </c>
      <c r="L31" s="3">
        <f>'[3]Usna Rice'!AQ42</f>
        <v>10</v>
      </c>
      <c r="M31" s="3">
        <f>'[3]Usna Rice'!AR42</f>
        <v>0</v>
      </c>
      <c r="N31" s="3">
        <f>'[3]Usna Rice'!AS42</f>
        <v>109.38</v>
      </c>
      <c r="O31" s="7" t="s">
        <v>46</v>
      </c>
      <c r="P31" s="62">
        <f>'[3]Usna Rice'!$AW$42</f>
        <v>134.38000000000011</v>
      </c>
      <c r="Q31" s="9">
        <f>'[3]Usna Rice'!$AX$42</f>
        <v>47.569999999999936</v>
      </c>
    </row>
    <row r="32" spans="2:17" x14ac:dyDescent="0.2">
      <c r="B32" s="6">
        <v>2</v>
      </c>
      <c r="C32" s="3"/>
      <c r="D32" s="3" t="s">
        <v>50</v>
      </c>
      <c r="E32" s="3"/>
      <c r="F32" s="3" t="s">
        <v>46</v>
      </c>
      <c r="G32" s="3" t="s">
        <v>46</v>
      </c>
      <c r="H32" s="3" t="s">
        <v>46</v>
      </c>
      <c r="I32" s="3" t="s">
        <v>46</v>
      </c>
      <c r="J32" s="3" t="s">
        <v>46</v>
      </c>
      <c r="K32" s="3" t="s">
        <v>46</v>
      </c>
      <c r="L32" s="3" t="s">
        <v>46</v>
      </c>
      <c r="M32" s="3" t="s">
        <v>46</v>
      </c>
      <c r="N32" s="3">
        <f>'[3]Sortex Broken Rice'!$Q$41</f>
        <v>181</v>
      </c>
      <c r="O32" s="7">
        <f>'[3]Sortex Broken Rice'!$R$41</f>
        <v>90</v>
      </c>
      <c r="P32" s="62">
        <f>'[3]Sortex Broken Rice'!$S$41</f>
        <v>271</v>
      </c>
      <c r="Q32" s="9">
        <f>'[3]Sortex Broken Rice'!$T$41</f>
        <v>135.5</v>
      </c>
    </row>
    <row r="33" spans="2:17" x14ac:dyDescent="0.2">
      <c r="B33" s="6">
        <v>3</v>
      </c>
      <c r="C33" s="3"/>
      <c r="D33" s="3" t="s">
        <v>51</v>
      </c>
      <c r="E33" s="3"/>
      <c r="F33" s="3" t="s">
        <v>46</v>
      </c>
      <c r="G33" s="3" t="s">
        <v>46</v>
      </c>
      <c r="H33" s="3" t="s">
        <v>46</v>
      </c>
      <c r="I33" s="3" t="s">
        <v>46</v>
      </c>
      <c r="J33" s="3" t="s">
        <v>46</v>
      </c>
      <c r="K33" s="3" t="s">
        <v>46</v>
      </c>
      <c r="L33" s="3" t="s">
        <v>46</v>
      </c>
      <c r="M33" s="3" t="s">
        <v>46</v>
      </c>
      <c r="N33" s="3">
        <f>'[3]Pin Broken Rice '!$Q$41</f>
        <v>0</v>
      </c>
      <c r="O33" s="7">
        <f>'[3]Pin Broken Rice '!$R$41</f>
        <v>80</v>
      </c>
      <c r="P33" s="62">
        <f>'[3]Pin Broken Rice '!$S$41</f>
        <v>80</v>
      </c>
      <c r="Q33" s="9">
        <f>'[3]Pin Broken Rice '!$T$41</f>
        <v>40</v>
      </c>
    </row>
    <row r="34" spans="2:17" x14ac:dyDescent="0.2">
      <c r="B34" s="6">
        <v>4</v>
      </c>
      <c r="C34" s="3"/>
      <c r="D34" s="3" t="s">
        <v>52</v>
      </c>
      <c r="E34" s="3"/>
      <c r="F34" s="3" t="s">
        <v>46</v>
      </c>
      <c r="G34" s="3" t="s">
        <v>46</v>
      </c>
      <c r="H34" s="3" t="s">
        <v>46</v>
      </c>
      <c r="I34" s="3" t="s">
        <v>46</v>
      </c>
      <c r="J34" s="3" t="s">
        <v>46</v>
      </c>
      <c r="K34" s="3" t="s">
        <v>46</v>
      </c>
      <c r="L34" s="3" t="s">
        <v>46</v>
      </c>
      <c r="M34" s="3" t="s">
        <v>46</v>
      </c>
      <c r="N34" s="28">
        <f>'[3]Rejection Rice 1 No  '!$R$41</f>
        <v>87</v>
      </c>
      <c r="O34" s="59">
        <f>'[3]Rejection Rice 1 No  '!$S$41</f>
        <v>156</v>
      </c>
      <c r="P34" s="62">
        <f>'[3]Rejection Rice 1 No  '!$T$41</f>
        <v>243</v>
      </c>
      <c r="Q34" s="9">
        <f>'[3]Rejection Rice 1 No  '!$U$41</f>
        <v>154.00000000000006</v>
      </c>
    </row>
    <row r="35" spans="2:17" x14ac:dyDescent="0.2">
      <c r="B35" s="6">
        <v>5</v>
      </c>
      <c r="C35" s="3"/>
      <c r="D35" s="3" t="s">
        <v>53</v>
      </c>
      <c r="E35" s="3"/>
      <c r="F35" s="3" t="s">
        <v>46</v>
      </c>
      <c r="G35" s="3" t="s">
        <v>46</v>
      </c>
      <c r="H35" s="3" t="s">
        <v>46</v>
      </c>
      <c r="I35" s="3" t="s">
        <v>46</v>
      </c>
      <c r="J35" s="3" t="s">
        <v>46</v>
      </c>
      <c r="K35" s="3" t="s">
        <v>46</v>
      </c>
      <c r="L35" s="3" t="s">
        <v>46</v>
      </c>
      <c r="M35" s="3" t="s">
        <v>46</v>
      </c>
      <c r="N35" s="3">
        <f>'[3]Rejection Rice 2 No'!$O$41</f>
        <v>0</v>
      </c>
      <c r="O35" s="59">
        <f>'[3]Rejection Rice 2 No'!$P$41</f>
        <v>146</v>
      </c>
      <c r="P35" s="62">
        <f>'[3]Rejection Rice 2 No'!$Q$41</f>
        <v>146</v>
      </c>
      <c r="Q35" s="9">
        <f>'[3]Rejection Rice 2 No'!$R$41</f>
        <v>73</v>
      </c>
    </row>
    <row r="36" spans="2:17" x14ac:dyDescent="0.2">
      <c r="B36" s="6">
        <v>6</v>
      </c>
      <c r="C36" s="3"/>
      <c r="D36" s="3" t="s">
        <v>7</v>
      </c>
      <c r="E36" s="3"/>
      <c r="F36" s="3" t="s">
        <v>46</v>
      </c>
      <c r="G36" s="3" t="s">
        <v>46</v>
      </c>
      <c r="H36" s="3" t="s">
        <v>46</v>
      </c>
      <c r="I36" s="3" t="s">
        <v>46</v>
      </c>
      <c r="J36" s="3" t="s">
        <v>46</v>
      </c>
      <c r="K36" s="3" t="s">
        <v>46</v>
      </c>
      <c r="L36" s="3" t="s">
        <v>46</v>
      </c>
      <c r="M36" s="3" t="s">
        <v>46</v>
      </c>
      <c r="N36" s="28">
        <f>[3]Bran!$O$41</f>
        <v>0</v>
      </c>
      <c r="O36" s="7">
        <f>[3]Bran!$P$41</f>
        <v>0</v>
      </c>
      <c r="P36" s="62">
        <f>[3]Bran!$Q$41</f>
        <v>0</v>
      </c>
      <c r="Q36" s="9">
        <f>[3]Bran!$R$41</f>
        <v>0</v>
      </c>
    </row>
    <row r="37" spans="2:17" x14ac:dyDescent="0.2">
      <c r="B37" s="6">
        <v>7</v>
      </c>
      <c r="C37" s="3"/>
      <c r="D37" s="3" t="s">
        <v>10</v>
      </c>
      <c r="E37" s="3"/>
      <c r="F37" s="3" t="s">
        <v>46</v>
      </c>
      <c r="G37" s="3" t="s">
        <v>46</v>
      </c>
      <c r="H37" s="3" t="s">
        <v>46</v>
      </c>
      <c r="I37" s="3" t="s">
        <v>46</v>
      </c>
      <c r="J37" s="3" t="s">
        <v>46</v>
      </c>
      <c r="K37" s="3" t="s">
        <v>46</v>
      </c>
      <c r="L37" s="3" t="s">
        <v>46</v>
      </c>
      <c r="M37" s="3" t="s">
        <v>46</v>
      </c>
      <c r="N37" s="69">
        <f>[3]Khanda!Q41</f>
        <v>1000</v>
      </c>
      <c r="O37" s="3">
        <f>[3]Khanda!R41</f>
        <v>0</v>
      </c>
      <c r="P37" s="4">
        <f>[3]Khanda!S41</f>
        <v>1000</v>
      </c>
      <c r="Q37" s="4">
        <f>[3]Khanda!T41</f>
        <v>500.5</v>
      </c>
    </row>
    <row r="38" spans="2:17" ht="16" thickBot="1" x14ac:dyDescent="0.25">
      <c r="B38" s="10">
        <v>8</v>
      </c>
      <c r="C38" s="11"/>
      <c r="D38" s="11" t="s">
        <v>6</v>
      </c>
      <c r="E38" s="11"/>
      <c r="F38" s="11" t="s">
        <v>46</v>
      </c>
      <c r="G38" s="11" t="s">
        <v>46</v>
      </c>
      <c r="H38" s="11" t="s">
        <v>46</v>
      </c>
      <c r="I38" s="11" t="s">
        <v>46</v>
      </c>
      <c r="J38" s="11" t="s">
        <v>46</v>
      </c>
      <c r="K38" s="11" t="s">
        <v>46</v>
      </c>
      <c r="L38" s="11" t="s">
        <v>46</v>
      </c>
      <c r="M38" s="11" t="s">
        <v>46</v>
      </c>
      <c r="N38" s="118">
        <f>[3]Rafi!O41</f>
        <v>67.5</v>
      </c>
      <c r="O38" s="120">
        <f>[3]Rafi!P41</f>
        <v>25</v>
      </c>
      <c r="P38" s="12">
        <f>[3]Rafi!Q41</f>
        <v>92.5</v>
      </c>
      <c r="Q38" s="12">
        <f>[3]Rafi!R41</f>
        <v>46.25</v>
      </c>
    </row>
    <row r="39" spans="2:17" ht="16" thickBot="1" x14ac:dyDescent="0.25">
      <c r="O39" s="65" t="s">
        <v>61</v>
      </c>
      <c r="P39" s="66">
        <f>SUM(P33:P38)</f>
        <v>1561.5</v>
      </c>
      <c r="Q39" s="67">
        <f>SUM(Q33:Q38)</f>
        <v>813.75</v>
      </c>
    </row>
  </sheetData>
  <mergeCells count="5">
    <mergeCell ref="P15:Q15"/>
    <mergeCell ref="P27:Q27"/>
    <mergeCell ref="P4:Q4"/>
    <mergeCell ref="AD4:AE4"/>
    <mergeCell ref="AA4:AB4"/>
  </mergeCells>
  <pageMargins left="0.7" right="0.7" top="0.75" bottom="0.75" header="0.3" footer="0.3"/>
  <pageSetup orientation="portrait" r:id="rId1"/>
  <ignoredErrors>
    <ignoredError sqref="O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E7A6-F478-4EED-91B4-C5B66FA8FEB2}">
  <dimension ref="C1:K29"/>
  <sheetViews>
    <sheetView workbookViewId="0">
      <selection activeCell="L10" sqref="L10"/>
    </sheetView>
  </sheetViews>
  <sheetFormatPr baseColWidth="10" defaultColWidth="9" defaultRowHeight="15" x14ac:dyDescent="0.2"/>
  <cols>
    <col min="1" max="2" width="9" style="1"/>
    <col min="3" max="3" width="33.6640625" style="1" bestFit="1" customWidth="1"/>
    <col min="4" max="4" width="27" style="1" bestFit="1" customWidth="1"/>
    <col min="5" max="5" width="11.1640625" style="1" customWidth="1"/>
    <col min="6" max="6" width="12.1640625" style="1" bestFit="1" customWidth="1"/>
    <col min="7" max="7" width="6.33203125" style="1" bestFit="1" customWidth="1"/>
    <col min="8" max="10" width="9" style="1"/>
    <col min="11" max="11" width="12.83203125" style="1" customWidth="1"/>
    <col min="12" max="16384" width="9" style="1"/>
  </cols>
  <sheetData>
    <row r="1" spans="3:11" ht="16" thickBot="1" x14ac:dyDescent="0.25"/>
    <row r="2" spans="3:11" x14ac:dyDescent="0.2">
      <c r="C2" s="75"/>
      <c r="D2" s="34"/>
      <c r="E2" s="34"/>
      <c r="F2" s="34"/>
      <c r="G2" s="34"/>
      <c r="H2" s="34"/>
      <c r="I2" s="34"/>
      <c r="J2" s="34"/>
      <c r="K2" s="53"/>
    </row>
    <row r="3" spans="3:11" x14ac:dyDescent="0.2">
      <c r="C3" s="6"/>
      <c r="D3" s="3"/>
      <c r="E3" s="4" t="s">
        <v>77</v>
      </c>
      <c r="F3" s="4" t="s">
        <v>65</v>
      </c>
      <c r="G3" s="4"/>
      <c r="H3" s="3"/>
      <c r="I3" s="3"/>
      <c r="J3" s="3"/>
      <c r="K3" s="7"/>
    </row>
    <row r="4" spans="3:11" x14ac:dyDescent="0.2">
      <c r="C4" s="6"/>
      <c r="D4" s="3"/>
      <c r="E4" s="3"/>
      <c r="F4" s="4"/>
      <c r="G4" s="4"/>
      <c r="H4" s="3"/>
      <c r="I4" s="3"/>
      <c r="J4" s="3"/>
      <c r="K4" s="7"/>
    </row>
    <row r="5" spans="3:11" ht="16" thickBot="1" x14ac:dyDescent="0.25">
      <c r="C5" s="91"/>
      <c r="D5" s="72"/>
      <c r="E5" s="72"/>
      <c r="F5" s="73"/>
      <c r="G5" s="73"/>
      <c r="H5" s="3"/>
      <c r="I5" s="3"/>
      <c r="J5" s="3"/>
      <c r="K5" s="7"/>
    </row>
    <row r="6" spans="3:11" x14ac:dyDescent="0.2">
      <c r="C6" s="75" t="s">
        <v>64</v>
      </c>
      <c r="D6" s="34" t="s">
        <v>66</v>
      </c>
      <c r="E6" s="76">
        <f>123428-64000</f>
        <v>59428</v>
      </c>
      <c r="F6" s="77">
        <f>E6</f>
        <v>59428</v>
      </c>
      <c r="G6" s="78" t="s">
        <v>84</v>
      </c>
      <c r="H6" s="45"/>
      <c r="I6" s="3"/>
      <c r="J6" s="3"/>
      <c r="K6" s="7"/>
    </row>
    <row r="7" spans="3:11" ht="16" thickBot="1" x14ac:dyDescent="0.25">
      <c r="C7" s="10" t="s">
        <v>75</v>
      </c>
      <c r="D7" s="11" t="s">
        <v>66</v>
      </c>
      <c r="E7" s="79">
        <f>E6*68%</f>
        <v>40411.040000000001</v>
      </c>
      <c r="F7" s="79">
        <f>F6*68%</f>
        <v>40411.040000000001</v>
      </c>
      <c r="G7" s="80" t="s">
        <v>84</v>
      </c>
      <c r="H7" s="62" t="s">
        <v>88</v>
      </c>
      <c r="I7" s="3"/>
      <c r="J7" s="3"/>
      <c r="K7" s="7"/>
    </row>
    <row r="8" spans="3:11" x14ac:dyDescent="0.2">
      <c r="C8" s="15"/>
      <c r="D8" s="16"/>
      <c r="E8" s="16"/>
      <c r="F8" s="74"/>
      <c r="G8" s="74"/>
      <c r="H8" s="3"/>
      <c r="I8" s="3"/>
      <c r="J8" s="3"/>
      <c r="K8" s="7"/>
    </row>
    <row r="9" spans="3:11" ht="16" thickBot="1" x14ac:dyDescent="0.25">
      <c r="C9" s="92"/>
      <c r="D9" s="81"/>
      <c r="E9" s="81"/>
      <c r="F9" s="73"/>
      <c r="G9" s="73"/>
      <c r="H9" s="3"/>
      <c r="I9" s="3"/>
      <c r="J9" s="3"/>
      <c r="K9" s="7"/>
    </row>
    <row r="10" spans="3:11" x14ac:dyDescent="0.2">
      <c r="C10" s="75" t="s">
        <v>69</v>
      </c>
      <c r="D10" s="34" t="s">
        <v>66</v>
      </c>
      <c r="E10" s="82">
        <f>'Stock Report'!Q13</f>
        <v>25006.160000000003</v>
      </c>
      <c r="F10" s="77">
        <f>E10</f>
        <v>25006.160000000003</v>
      </c>
      <c r="G10" s="78" t="s">
        <v>84</v>
      </c>
      <c r="H10" s="45"/>
      <c r="I10" s="3"/>
      <c r="J10" s="3"/>
      <c r="K10" s="7"/>
    </row>
    <row r="11" spans="3:11" x14ac:dyDescent="0.2">
      <c r="C11" s="6" t="s">
        <v>76</v>
      </c>
      <c r="D11" s="69" t="s">
        <v>78</v>
      </c>
      <c r="E11" s="28">
        <f>9600+800+800+250+3000+2580</f>
        <v>17030</v>
      </c>
      <c r="F11" s="4">
        <f>E11*40/100</f>
        <v>6812</v>
      </c>
      <c r="G11" s="83" t="s">
        <v>84</v>
      </c>
      <c r="H11" s="45"/>
      <c r="I11" s="3"/>
      <c r="J11" s="3"/>
      <c r="K11" s="7"/>
    </row>
    <row r="12" spans="3:11" x14ac:dyDescent="0.2">
      <c r="C12" s="8" t="s">
        <v>61</v>
      </c>
      <c r="D12" s="68" t="s">
        <v>81</v>
      </c>
      <c r="E12" s="68" t="s">
        <v>46</v>
      </c>
      <c r="F12" s="4">
        <f>SUM(F10:F11)</f>
        <v>31818.160000000003</v>
      </c>
      <c r="G12" s="83" t="s">
        <v>84</v>
      </c>
      <c r="H12" s="45"/>
      <c r="I12" s="3"/>
      <c r="J12" s="3"/>
      <c r="K12" s="7"/>
    </row>
    <row r="13" spans="3:11" x14ac:dyDescent="0.2">
      <c r="C13" s="6"/>
      <c r="D13" s="56"/>
      <c r="E13" s="56"/>
      <c r="F13" s="4"/>
      <c r="G13" s="9"/>
      <c r="H13" s="45"/>
      <c r="I13" s="3"/>
      <c r="J13" s="3"/>
      <c r="K13" s="7"/>
    </row>
    <row r="14" spans="3:11" ht="16" thickBot="1" x14ac:dyDescent="0.25">
      <c r="C14" s="10" t="s">
        <v>82</v>
      </c>
      <c r="D14" s="63" t="s">
        <v>83</v>
      </c>
      <c r="E14" s="94">
        <v>0.57999999999999996</v>
      </c>
      <c r="F14" s="12">
        <f>F12*E14</f>
        <v>18454.532800000001</v>
      </c>
      <c r="G14" s="22" t="s">
        <v>84</v>
      </c>
      <c r="H14" s="62" t="s">
        <v>89</v>
      </c>
      <c r="I14" s="3"/>
      <c r="J14" s="3"/>
      <c r="K14" s="7"/>
    </row>
    <row r="15" spans="3:11" ht="16" thickBot="1" x14ac:dyDescent="0.25">
      <c r="C15" s="93"/>
      <c r="D15" s="84"/>
      <c r="E15" s="84"/>
      <c r="F15" s="85"/>
      <c r="G15" s="85"/>
      <c r="H15" s="3"/>
      <c r="I15" s="3"/>
      <c r="J15" s="3"/>
      <c r="K15" s="7"/>
    </row>
    <row r="16" spans="3:11" x14ac:dyDescent="0.2">
      <c r="C16" s="75" t="s">
        <v>63</v>
      </c>
      <c r="D16" s="86" t="s">
        <v>66</v>
      </c>
      <c r="E16" s="87">
        <v>16816</v>
      </c>
      <c r="F16" s="19">
        <f>E16</f>
        <v>16816</v>
      </c>
      <c r="G16" s="20" t="s">
        <v>84</v>
      </c>
      <c r="H16" s="45"/>
      <c r="I16" s="3"/>
      <c r="J16" s="3"/>
      <c r="K16" s="7"/>
    </row>
    <row r="17" spans="3:11" x14ac:dyDescent="0.2">
      <c r="C17" s="6" t="s">
        <v>70</v>
      </c>
      <c r="D17" s="69" t="s">
        <v>79</v>
      </c>
      <c r="E17" s="70">
        <v>2</v>
      </c>
      <c r="F17" s="4">
        <f>E17*290</f>
        <v>580</v>
      </c>
      <c r="G17" s="9" t="s">
        <v>84</v>
      </c>
      <c r="H17" s="45"/>
      <c r="I17" s="3"/>
      <c r="J17" s="3"/>
      <c r="K17" s="7"/>
    </row>
    <row r="18" spans="3:11" x14ac:dyDescent="0.2">
      <c r="C18" s="6" t="s">
        <v>71</v>
      </c>
      <c r="D18" s="64" t="s">
        <v>66</v>
      </c>
      <c r="E18" s="71">
        <f>'Stock Report'!N31+'Stock Report'!G31</f>
        <v>551.38</v>
      </c>
      <c r="F18" s="4">
        <f>E18</f>
        <v>551.38</v>
      </c>
      <c r="G18" s="9" t="s">
        <v>84</v>
      </c>
      <c r="H18" s="132" t="s">
        <v>80</v>
      </c>
      <c r="I18" s="122"/>
      <c r="J18" s="122"/>
      <c r="K18" s="133"/>
    </row>
    <row r="19" spans="3:11" x14ac:dyDescent="0.2">
      <c r="C19" s="6" t="s">
        <v>67</v>
      </c>
      <c r="D19" s="69" t="s">
        <v>78</v>
      </c>
      <c r="E19" s="70">
        <v>700</v>
      </c>
      <c r="F19" s="4">
        <f>E19*50/100</f>
        <v>350</v>
      </c>
      <c r="G19" s="9" t="s">
        <v>84</v>
      </c>
      <c r="H19" s="45"/>
      <c r="I19" s="3"/>
      <c r="J19" s="3"/>
      <c r="K19" s="7"/>
    </row>
    <row r="20" spans="3:11" x14ac:dyDescent="0.2">
      <c r="C20" s="6" t="s">
        <v>68</v>
      </c>
      <c r="D20" s="69" t="s">
        <v>78</v>
      </c>
      <c r="E20" s="70">
        <v>0</v>
      </c>
      <c r="F20" s="4">
        <f>E20*50/100</f>
        <v>0</v>
      </c>
      <c r="G20" s="9" t="s">
        <v>84</v>
      </c>
      <c r="H20" s="45"/>
      <c r="I20" s="3"/>
      <c r="J20" s="3"/>
      <c r="K20" s="7"/>
    </row>
    <row r="21" spans="3:11" x14ac:dyDescent="0.2">
      <c r="C21" s="8" t="s">
        <v>61</v>
      </c>
      <c r="D21" s="68" t="s">
        <v>81</v>
      </c>
      <c r="E21" s="68" t="s">
        <v>46</v>
      </c>
      <c r="F21" s="4">
        <f>SUM(F16:F20)</f>
        <v>18297.38</v>
      </c>
      <c r="G21" s="83" t="s">
        <v>84</v>
      </c>
      <c r="H21" s="62" t="s">
        <v>90</v>
      </c>
      <c r="I21" s="3"/>
      <c r="J21" s="3"/>
      <c r="K21" s="7"/>
    </row>
    <row r="22" spans="3:11" x14ac:dyDescent="0.2">
      <c r="C22" s="6"/>
      <c r="D22" s="3"/>
      <c r="E22" s="3"/>
      <c r="F22" s="4"/>
      <c r="G22" s="9"/>
      <c r="H22" s="45"/>
      <c r="I22" s="3"/>
      <c r="J22" s="3"/>
      <c r="K22" s="7"/>
    </row>
    <row r="23" spans="3:11" ht="16" thickBot="1" x14ac:dyDescent="0.25">
      <c r="C23" s="10"/>
      <c r="D23" s="12" t="s">
        <v>91</v>
      </c>
      <c r="E23" s="11"/>
      <c r="F23" s="12">
        <f>F14+F21</f>
        <v>36751.912800000006</v>
      </c>
      <c r="G23" s="22" t="s">
        <v>84</v>
      </c>
      <c r="H23" s="45"/>
      <c r="I23" s="3"/>
      <c r="J23" s="3"/>
      <c r="K23" s="7"/>
    </row>
    <row r="24" spans="3:11" ht="16" thickBot="1" x14ac:dyDescent="0.25">
      <c r="C24" s="93"/>
      <c r="D24" s="84"/>
      <c r="E24" s="84"/>
      <c r="F24" s="84"/>
      <c r="G24" s="84"/>
      <c r="H24" s="3"/>
      <c r="I24" s="3"/>
      <c r="J24" s="3"/>
      <c r="K24" s="7"/>
    </row>
    <row r="25" spans="3:11" x14ac:dyDescent="0.2">
      <c r="C25" s="75"/>
      <c r="D25" s="34" t="s">
        <v>85</v>
      </c>
      <c r="E25" s="34" t="s">
        <v>92</v>
      </c>
      <c r="F25" s="34">
        <f>F7-F23</f>
        <v>3659.1271999999954</v>
      </c>
      <c r="G25" s="53"/>
      <c r="H25" s="45"/>
      <c r="I25" s="3"/>
      <c r="J25" s="3"/>
      <c r="K25" s="7"/>
    </row>
    <row r="26" spans="3:11" x14ac:dyDescent="0.2">
      <c r="C26" s="6"/>
      <c r="D26" s="3"/>
      <c r="E26" s="3"/>
      <c r="F26" s="3"/>
      <c r="G26" s="7"/>
      <c r="H26" s="45"/>
      <c r="I26" s="3"/>
      <c r="J26" s="3"/>
      <c r="K26" s="7"/>
    </row>
    <row r="27" spans="3:11" ht="61.5" customHeight="1" thickBot="1" x14ac:dyDescent="0.25">
      <c r="C27" s="90"/>
      <c r="D27" s="95" t="s">
        <v>93</v>
      </c>
      <c r="E27" s="96">
        <f>E14</f>
        <v>0.57999999999999996</v>
      </c>
      <c r="F27" s="89">
        <f>F25/E27</f>
        <v>6308.8399999999929</v>
      </c>
      <c r="G27" s="88" t="s">
        <v>86</v>
      </c>
      <c r="H27" s="134" t="s">
        <v>87</v>
      </c>
      <c r="I27" s="135"/>
      <c r="J27" s="135"/>
      <c r="K27" s="136"/>
    </row>
    <row r="28" spans="3:11" x14ac:dyDescent="0.2">
      <c r="F28" s="97">
        <v>1400</v>
      </c>
      <c r="G28" s="1" t="s">
        <v>94</v>
      </c>
    </row>
    <row r="29" spans="3:11" x14ac:dyDescent="0.2">
      <c r="F29" s="97">
        <f>F27*F28</f>
        <v>8832375.9999999907</v>
      </c>
      <c r="G29" s="137" t="s">
        <v>95</v>
      </c>
      <c r="H29" s="137"/>
      <c r="I29" s="137"/>
      <c r="J29" s="137"/>
    </row>
  </sheetData>
  <mergeCells count="3">
    <mergeCell ref="H18:K18"/>
    <mergeCell ref="H27:K27"/>
    <mergeCell ref="G29:J29"/>
  </mergeCells>
  <pageMargins left="0.7" right="0.7" top="0.75" bottom="0.75" header="0.3" footer="0.3"/>
  <pageSetup orientation="portrait" r:id="rId1"/>
  <ignoredErrors>
    <ignoredError sqref="F17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264E-D252-4EE2-A5BA-484B4B5BE7D5}">
  <dimension ref="C2:K29"/>
  <sheetViews>
    <sheetView topLeftCell="B1" workbookViewId="0">
      <selection activeCell="M5" sqref="M5"/>
    </sheetView>
  </sheetViews>
  <sheetFormatPr baseColWidth="10" defaultColWidth="9" defaultRowHeight="15" x14ac:dyDescent="0.2"/>
  <cols>
    <col min="1" max="2" width="9" style="98"/>
    <col min="3" max="3" width="33.6640625" style="98" bestFit="1" customWidth="1"/>
    <col min="4" max="4" width="27" style="98" bestFit="1" customWidth="1"/>
    <col min="5" max="5" width="11.1640625" style="98" customWidth="1"/>
    <col min="6" max="6" width="12.1640625" style="98" bestFit="1" customWidth="1"/>
    <col min="7" max="7" width="6.33203125" style="98" bestFit="1" customWidth="1"/>
    <col min="8" max="10" width="9" style="98"/>
    <col min="11" max="11" width="12.83203125" style="98" customWidth="1"/>
    <col min="12" max="16384" width="9" style="98"/>
  </cols>
  <sheetData>
    <row r="2" spans="3:11" x14ac:dyDescent="0.2">
      <c r="C2" s="106"/>
      <c r="D2" s="106"/>
      <c r="E2" s="106"/>
      <c r="F2" s="106"/>
      <c r="G2" s="106"/>
      <c r="H2" s="106"/>
      <c r="I2" s="106"/>
      <c r="J2" s="106"/>
      <c r="K2" s="106"/>
    </row>
    <row r="3" spans="3:11" x14ac:dyDescent="0.2">
      <c r="C3" s="106"/>
      <c r="D3" s="106"/>
      <c r="E3" s="107" t="s">
        <v>77</v>
      </c>
      <c r="F3" s="107" t="s">
        <v>65</v>
      </c>
      <c r="G3" s="107"/>
      <c r="H3" s="106"/>
      <c r="I3" s="106"/>
      <c r="J3" s="106"/>
      <c r="K3" s="106"/>
    </row>
    <row r="4" spans="3:11" x14ac:dyDescent="0.2">
      <c r="C4" s="106"/>
      <c r="D4" s="106"/>
      <c r="E4" s="106"/>
      <c r="F4" s="107"/>
      <c r="G4" s="107"/>
      <c r="H4" s="106"/>
      <c r="I4" s="106"/>
      <c r="J4" s="106"/>
      <c r="K4" s="106"/>
    </row>
    <row r="5" spans="3:11" ht="16" thickBot="1" x14ac:dyDescent="0.25">
      <c r="C5" s="108"/>
      <c r="D5" s="108"/>
      <c r="E5" s="108"/>
      <c r="F5" s="109"/>
      <c r="G5" s="109"/>
      <c r="H5" s="106"/>
      <c r="I5" s="106"/>
      <c r="J5" s="106"/>
      <c r="K5" s="106"/>
    </row>
    <row r="6" spans="3:11" ht="16" thickBot="1" x14ac:dyDescent="0.25">
      <c r="C6" s="100" t="s">
        <v>64</v>
      </c>
      <c r="D6" s="101" t="s">
        <v>66</v>
      </c>
      <c r="E6" s="102">
        <f>'Paddy Shortage (Rice)'!E6</f>
        <v>59428</v>
      </c>
      <c r="F6" s="103">
        <f>E6</f>
        <v>59428</v>
      </c>
      <c r="G6" s="104" t="s">
        <v>84</v>
      </c>
      <c r="H6" s="107" t="s">
        <v>88</v>
      </c>
      <c r="I6" s="106"/>
      <c r="J6" s="106"/>
      <c r="K6" s="106"/>
    </row>
    <row r="7" spans="3:11" x14ac:dyDescent="0.2">
      <c r="C7" s="106"/>
      <c r="D7" s="106"/>
      <c r="E7" s="106"/>
      <c r="F7" s="109"/>
      <c r="G7" s="109"/>
      <c r="H7" s="106"/>
      <c r="I7" s="106"/>
      <c r="J7" s="106"/>
      <c r="K7" s="106"/>
    </row>
    <row r="8" spans="3:11" ht="16" thickBot="1" x14ac:dyDescent="0.25">
      <c r="C8" s="106"/>
      <c r="D8" s="106"/>
      <c r="E8" s="106"/>
      <c r="F8" s="109"/>
      <c r="G8" s="109"/>
      <c r="H8" s="106"/>
      <c r="I8" s="106"/>
      <c r="J8" s="106"/>
      <c r="K8" s="106"/>
    </row>
    <row r="9" spans="3:11" x14ac:dyDescent="0.2">
      <c r="C9" s="75" t="s">
        <v>69</v>
      </c>
      <c r="D9" s="34" t="s">
        <v>66</v>
      </c>
      <c r="E9" s="82">
        <f>'Stock Report'!Q13</f>
        <v>25006.160000000003</v>
      </c>
      <c r="F9" s="77">
        <f>E9</f>
        <v>25006.160000000003</v>
      </c>
      <c r="G9" s="77" t="s">
        <v>84</v>
      </c>
      <c r="H9" s="34"/>
      <c r="I9" s="34"/>
      <c r="J9" s="34"/>
      <c r="K9" s="53"/>
    </row>
    <row r="10" spans="3:11" x14ac:dyDescent="0.2">
      <c r="C10" s="6" t="s">
        <v>76</v>
      </c>
      <c r="D10" s="69" t="s">
        <v>78</v>
      </c>
      <c r="E10" s="28">
        <f>'Paddy Shortage (Rice)'!E11</f>
        <v>17030</v>
      </c>
      <c r="F10" s="4">
        <f>E10*40/100</f>
        <v>6812</v>
      </c>
      <c r="G10" s="68" t="s">
        <v>84</v>
      </c>
      <c r="H10" s="3"/>
      <c r="I10" s="3"/>
      <c r="J10" s="3"/>
      <c r="K10" s="7"/>
    </row>
    <row r="11" spans="3:11" x14ac:dyDescent="0.2">
      <c r="C11" s="8" t="s">
        <v>61</v>
      </c>
      <c r="D11" s="68" t="s">
        <v>81</v>
      </c>
      <c r="E11" s="68" t="s">
        <v>46</v>
      </c>
      <c r="F11" s="4">
        <f>SUM(F9:F10)</f>
        <v>31818.160000000003</v>
      </c>
      <c r="G11" s="68" t="s">
        <v>84</v>
      </c>
      <c r="H11" s="3" t="s">
        <v>89</v>
      </c>
      <c r="I11" s="3"/>
      <c r="J11" s="3"/>
      <c r="K11" s="7"/>
    </row>
    <row r="12" spans="3:11" x14ac:dyDescent="0.2">
      <c r="C12" s="6"/>
      <c r="D12" s="3"/>
      <c r="E12" s="3"/>
      <c r="F12" s="68"/>
      <c r="G12" s="68"/>
      <c r="H12" s="3"/>
      <c r="I12" s="3"/>
      <c r="J12" s="3"/>
      <c r="K12" s="7"/>
    </row>
    <row r="13" spans="3:11" x14ac:dyDescent="0.2">
      <c r="C13" s="6" t="s">
        <v>63</v>
      </c>
      <c r="D13" s="64" t="s">
        <v>66</v>
      </c>
      <c r="E13" s="70">
        <f>'Paddy Shortage (Rice)'!E16</f>
        <v>16816</v>
      </c>
      <c r="F13" s="4">
        <f>E13</f>
        <v>16816</v>
      </c>
      <c r="G13" s="4" t="s">
        <v>84</v>
      </c>
      <c r="H13" s="3"/>
      <c r="I13" s="3"/>
      <c r="J13" s="3"/>
      <c r="K13" s="7"/>
    </row>
    <row r="14" spans="3:11" x14ac:dyDescent="0.2">
      <c r="C14" s="6" t="s">
        <v>70</v>
      </c>
      <c r="D14" s="69" t="s">
        <v>79</v>
      </c>
      <c r="E14" s="70">
        <f>'Paddy Shortage (Rice)'!E17</f>
        <v>2</v>
      </c>
      <c r="F14" s="4">
        <f>E14*290</f>
        <v>580</v>
      </c>
      <c r="G14" s="4" t="s">
        <v>84</v>
      </c>
      <c r="H14" s="3"/>
      <c r="I14" s="3"/>
      <c r="J14" s="3"/>
      <c r="K14" s="7"/>
    </row>
    <row r="15" spans="3:11" s="60" customFormat="1" x14ac:dyDescent="0.2">
      <c r="C15" s="99"/>
      <c r="D15" s="56"/>
      <c r="E15" s="68" t="s">
        <v>32</v>
      </c>
      <c r="F15" s="68">
        <f>SUM(F13:F14)</f>
        <v>17396</v>
      </c>
      <c r="G15" s="68" t="s">
        <v>84</v>
      </c>
      <c r="H15" s="56"/>
      <c r="I15" s="56"/>
      <c r="J15" s="56"/>
      <c r="K15" s="61"/>
    </row>
    <row r="16" spans="3:11" s="60" customFormat="1" x14ac:dyDescent="0.2">
      <c r="C16" s="99" t="s">
        <v>96</v>
      </c>
      <c r="D16" s="56"/>
      <c r="E16" s="68"/>
      <c r="F16" s="68">
        <f>F15/68%</f>
        <v>25582.352941176468</v>
      </c>
      <c r="G16" s="68" t="s">
        <v>84</v>
      </c>
      <c r="H16" s="56" t="s">
        <v>90</v>
      </c>
      <c r="I16" s="56"/>
      <c r="J16" s="56"/>
      <c r="K16" s="61"/>
    </row>
    <row r="17" spans="3:11" s="60" customFormat="1" x14ac:dyDescent="0.2">
      <c r="C17" s="99"/>
      <c r="D17" s="56"/>
      <c r="E17" s="68"/>
      <c r="F17" s="68"/>
      <c r="G17" s="68"/>
      <c r="H17" s="56"/>
      <c r="I17" s="56"/>
      <c r="J17" s="56"/>
      <c r="K17" s="61"/>
    </row>
    <row r="18" spans="3:11" x14ac:dyDescent="0.2">
      <c r="C18" s="6" t="s">
        <v>71</v>
      </c>
      <c r="D18" s="64" t="s">
        <v>66</v>
      </c>
      <c r="E18" s="71">
        <f>'Stock Report'!N31+'Stock Report'!G31</f>
        <v>551.38</v>
      </c>
      <c r="F18" s="4">
        <f>E18</f>
        <v>551.38</v>
      </c>
      <c r="G18" s="4" t="s">
        <v>84</v>
      </c>
      <c r="H18" s="122" t="s">
        <v>80</v>
      </c>
      <c r="I18" s="122"/>
      <c r="J18" s="122"/>
      <c r="K18" s="133"/>
    </row>
    <row r="19" spans="3:11" x14ac:dyDescent="0.2">
      <c r="C19" s="6" t="s">
        <v>67</v>
      </c>
      <c r="D19" s="69" t="s">
        <v>78</v>
      </c>
      <c r="E19" s="70">
        <f>'Paddy Shortage (Rice)'!E19</f>
        <v>700</v>
      </c>
      <c r="F19" s="4">
        <f>E19*50/100</f>
        <v>350</v>
      </c>
      <c r="G19" s="4" t="s">
        <v>84</v>
      </c>
      <c r="H19" s="3"/>
      <c r="I19" s="3"/>
      <c r="J19" s="3"/>
      <c r="K19" s="7"/>
    </row>
    <row r="20" spans="3:11" x14ac:dyDescent="0.2">
      <c r="C20" s="6" t="s">
        <v>68</v>
      </c>
      <c r="D20" s="69" t="s">
        <v>78</v>
      </c>
      <c r="E20" s="70">
        <f>'Paddy Shortage (Rice)'!E20</f>
        <v>0</v>
      </c>
      <c r="F20" s="4">
        <f>E20*50/100</f>
        <v>0</v>
      </c>
      <c r="G20" s="4" t="s">
        <v>84</v>
      </c>
      <c r="H20" s="3"/>
      <c r="I20" s="3"/>
      <c r="J20" s="3"/>
      <c r="K20" s="7"/>
    </row>
    <row r="21" spans="3:11" x14ac:dyDescent="0.2">
      <c r="C21" s="8" t="s">
        <v>61</v>
      </c>
      <c r="D21" s="68" t="s">
        <v>81</v>
      </c>
      <c r="E21" s="68" t="s">
        <v>46</v>
      </c>
      <c r="F21" s="4">
        <f>SUM(F18:F20)</f>
        <v>901.38</v>
      </c>
      <c r="G21" s="68" t="s">
        <v>84</v>
      </c>
      <c r="H21" s="64" t="s">
        <v>99</v>
      </c>
      <c r="I21" s="3"/>
      <c r="J21" s="3"/>
      <c r="K21" s="7"/>
    </row>
    <row r="22" spans="3:11" x14ac:dyDescent="0.2">
      <c r="C22" s="6"/>
      <c r="D22" s="3"/>
      <c r="E22" s="3"/>
      <c r="F22" s="4"/>
      <c r="G22" s="4"/>
      <c r="H22" s="3"/>
      <c r="I22" s="3"/>
      <c r="J22" s="3"/>
      <c r="K22" s="7"/>
    </row>
    <row r="23" spans="3:11" x14ac:dyDescent="0.2">
      <c r="C23" s="6"/>
      <c r="D23" s="4" t="s">
        <v>98</v>
      </c>
      <c r="E23" s="105">
        <f>'Paddy Shortage (Rice)'!E14</f>
        <v>0.57999999999999996</v>
      </c>
      <c r="F23" s="4">
        <f>F21/E23</f>
        <v>1554.1034482758621</v>
      </c>
      <c r="G23" s="4" t="s">
        <v>84</v>
      </c>
      <c r="H23" s="3"/>
      <c r="I23" s="3"/>
      <c r="J23" s="3"/>
      <c r="K23" s="7"/>
    </row>
    <row r="24" spans="3:11" x14ac:dyDescent="0.2">
      <c r="C24" s="6"/>
      <c r="D24" s="3"/>
      <c r="E24" s="3"/>
      <c r="F24" s="3"/>
      <c r="G24" s="3"/>
      <c r="H24" s="3"/>
      <c r="I24" s="3"/>
      <c r="J24" s="3"/>
      <c r="K24" s="7"/>
    </row>
    <row r="25" spans="3:11" ht="16" thickBot="1" x14ac:dyDescent="0.25">
      <c r="C25" s="10"/>
      <c r="D25" s="12" t="s">
        <v>97</v>
      </c>
      <c r="E25" s="12" t="s">
        <v>101</v>
      </c>
      <c r="F25" s="12">
        <f>F11+F16+F23</f>
        <v>58954.616389452334</v>
      </c>
      <c r="G25" s="12" t="s">
        <v>84</v>
      </c>
      <c r="H25" s="12" t="s">
        <v>100</v>
      </c>
      <c r="I25" s="11"/>
      <c r="J25" s="11"/>
      <c r="K25" s="14"/>
    </row>
    <row r="26" spans="3:11" ht="16" thickBot="1" x14ac:dyDescent="0.25">
      <c r="C26" s="106"/>
      <c r="D26" s="106"/>
      <c r="E26" s="106"/>
      <c r="F26" s="106"/>
      <c r="G26" s="106"/>
      <c r="H26" s="106"/>
      <c r="I26" s="106"/>
      <c r="J26" s="106"/>
      <c r="K26" s="106"/>
    </row>
    <row r="27" spans="3:11" ht="61.5" customHeight="1" thickBot="1" x14ac:dyDescent="0.25">
      <c r="C27" s="110"/>
      <c r="D27" s="111" t="s">
        <v>93</v>
      </c>
      <c r="E27" s="113" t="s">
        <v>102</v>
      </c>
      <c r="F27" s="112">
        <f>F6-F25</f>
        <v>473.38361054766574</v>
      </c>
      <c r="G27" s="112" t="s">
        <v>86</v>
      </c>
      <c r="H27" s="138" t="s">
        <v>87</v>
      </c>
      <c r="I27" s="138"/>
      <c r="J27" s="138"/>
      <c r="K27" s="139"/>
    </row>
    <row r="28" spans="3:11" x14ac:dyDescent="0.2">
      <c r="F28" s="97">
        <v>1400</v>
      </c>
      <c r="G28" s="98" t="s">
        <v>94</v>
      </c>
    </row>
    <row r="29" spans="3:11" x14ac:dyDescent="0.2">
      <c r="F29" s="114">
        <f>F27*F28</f>
        <v>662737.05476673204</v>
      </c>
      <c r="G29" s="140" t="s">
        <v>95</v>
      </c>
      <c r="H29" s="140"/>
      <c r="I29" s="140"/>
      <c r="J29" s="140"/>
      <c r="K29" s="115"/>
    </row>
  </sheetData>
  <mergeCells count="3">
    <mergeCell ref="H18:K18"/>
    <mergeCell ref="H27:K27"/>
    <mergeCell ref="G29:J2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Arwa</vt:lpstr>
      <vt:lpstr>Usna</vt:lpstr>
      <vt:lpstr>Stock Report</vt:lpstr>
      <vt:lpstr>Paddy Shortage (Rice)</vt:lpstr>
      <vt:lpstr>Paddy Shortage (Paddy)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Chethan Kulkarni</cp:lastModifiedBy>
  <dcterms:created xsi:type="dcterms:W3CDTF">2015-06-05T18:17:20Z</dcterms:created>
  <dcterms:modified xsi:type="dcterms:W3CDTF">2020-10-23T12:57:15Z</dcterms:modified>
</cp:coreProperties>
</file>