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evron-my.sharepoint.com/personal/vyomini_vakil_chevron_com/Documents/"/>
    </mc:Choice>
  </mc:AlternateContent>
  <xr:revisionPtr revIDLastSave="105" documentId="8_{B4E69C8C-79D3-441B-A516-E4D753693AF7}" xr6:coauthVersionLast="47" xr6:coauthVersionMax="47" xr10:uidLastSave="{2EC8EFF8-A3C7-49D2-80EB-7F3F8D4DD9B4}"/>
  <bookViews>
    <workbookView xWindow="-120" yWindow="-120" windowWidth="19440" windowHeight="11520" firstSheet="3" activeTab="3" xr2:uid="{D84487A8-5C24-449D-B82D-A990ED3FBB51}"/>
  </bookViews>
  <sheets>
    <sheet name="With_0.25in" sheetId="14" r:id="rId1"/>
    <sheet name="With_0.5in" sheetId="13" r:id="rId2"/>
    <sheet name="VolumeCalcs" sheetId="7" r:id="rId3"/>
    <sheet name="Examples" sheetId="12" r:id="rId4"/>
  </sheets>
  <externalReferences>
    <externalReference r:id="rId5"/>
  </externalReferences>
  <definedNames>
    <definedName name="EV__LASTREFTIME__" hidden="1">38838.4427199074</definedName>
    <definedName name="GasFromPiping_Duration">'[1]Gas-Release in Piping'!$Z$8/60</definedName>
    <definedName name="GasFromPiping_Qty1hour">'[1]Gas-Release in Piping'!$S$9</definedName>
    <definedName name="GasFromPiping_QtyTotal">'[1]Gas-Release in Piping'!$S$10</definedName>
    <definedName name="GasFromPRD_Duration">'[1]Gas Discharge from PRD'!$AB$8/60</definedName>
    <definedName name="GasFromPRD_Qty1Hour">'[1]Gas Discharge from PRD'!$T$9</definedName>
    <definedName name="GasFromPRD_QtyTotal">'[1]Gas Discharge from PRD'!$T$10</definedName>
    <definedName name="GasFromTank_Duration">'[1]Gas-Release in Piping from Tank'!$AD$8/60</definedName>
    <definedName name="GasFromTank_Qty1Hour">'[1]Gas-Release in Piping from Tank'!$S$9</definedName>
    <definedName name="GasFromTank_QtyTotal">'[1]Gas-Release in Piping from Tank'!$S$10</definedName>
    <definedName name="GasFromVessel_Duration">'[1]Gas-Release from Vessel'!$AA$11/60</definedName>
    <definedName name="GasFromVessel_Qty1hour">'[1]Gas-Release from Vessel'!$S$9</definedName>
    <definedName name="GasFromVessel_QtyTotal">'[1]Gas-Release from Vessel'!$S$10</definedName>
    <definedName name="tbl_OEDRS">OFFSET([1]OEDRS_TQ!$B:$B,1,0,COUNTA([1]OEDRS_TQ!$B:$B)+1,8)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4" l="1"/>
  <c r="O13" i="14"/>
  <c r="N13" i="14"/>
  <c r="J13" i="14"/>
  <c r="O12" i="14"/>
  <c r="N12" i="14"/>
  <c r="J12" i="14"/>
  <c r="O11" i="14"/>
  <c r="N11" i="14"/>
  <c r="J11" i="14"/>
  <c r="O10" i="14"/>
  <c r="N10" i="14"/>
  <c r="J10" i="14"/>
  <c r="O9" i="14"/>
  <c r="N9" i="14"/>
  <c r="J9" i="14"/>
  <c r="O8" i="14"/>
  <c r="N8" i="14"/>
  <c r="J8" i="14"/>
  <c r="O7" i="14"/>
  <c r="N7" i="14"/>
  <c r="J7" i="14"/>
  <c r="O6" i="14"/>
  <c r="N6" i="14"/>
  <c r="J6" i="14"/>
  <c r="K6" i="14" s="1"/>
  <c r="S5" i="14"/>
  <c r="R5" i="14"/>
  <c r="O5" i="14"/>
  <c r="N5" i="14"/>
  <c r="J5" i="14"/>
  <c r="K5" i="14" s="1"/>
  <c r="S4" i="14"/>
  <c r="R4" i="14"/>
  <c r="O4" i="14"/>
  <c r="N4" i="14"/>
  <c r="J4" i="14"/>
  <c r="S3" i="14"/>
  <c r="R3" i="14"/>
  <c r="O3" i="14"/>
  <c r="N3" i="14"/>
  <c r="J3" i="14"/>
  <c r="J14" i="14" s="1"/>
  <c r="H14" i="13"/>
  <c r="O13" i="13"/>
  <c r="N13" i="13"/>
  <c r="J13" i="13"/>
  <c r="O12" i="13"/>
  <c r="N12" i="13"/>
  <c r="J12" i="13"/>
  <c r="O11" i="13"/>
  <c r="N11" i="13"/>
  <c r="J11" i="13"/>
  <c r="O10" i="13"/>
  <c r="N10" i="13"/>
  <c r="J10" i="13"/>
  <c r="O9" i="13"/>
  <c r="N9" i="13"/>
  <c r="J9" i="13"/>
  <c r="O8" i="13"/>
  <c r="N8" i="13"/>
  <c r="J8" i="13"/>
  <c r="O7" i="13"/>
  <c r="N7" i="13"/>
  <c r="J7" i="13"/>
  <c r="O6" i="13"/>
  <c r="N6" i="13"/>
  <c r="J6" i="13"/>
  <c r="S5" i="13"/>
  <c r="R5" i="13"/>
  <c r="O5" i="13"/>
  <c r="N5" i="13"/>
  <c r="J5" i="13"/>
  <c r="S4" i="13"/>
  <c r="R4" i="13"/>
  <c r="O4" i="13"/>
  <c r="N4" i="13"/>
  <c r="J4" i="13"/>
  <c r="S3" i="13"/>
  <c r="R3" i="13"/>
  <c r="O3" i="13"/>
  <c r="N3" i="13"/>
  <c r="J3" i="13"/>
  <c r="K13" i="14" l="1"/>
  <c r="K8" i="14"/>
  <c r="K11" i="14"/>
  <c r="K10" i="14"/>
  <c r="K7" i="14"/>
  <c r="K12" i="14"/>
  <c r="K4" i="14"/>
  <c r="K9" i="14"/>
  <c r="K3" i="14"/>
  <c r="J14" i="13"/>
  <c r="K14" i="14" l="1"/>
  <c r="K5" i="13"/>
  <c r="K11" i="13"/>
  <c r="K13" i="13"/>
  <c r="K8" i="13"/>
  <c r="K12" i="13"/>
  <c r="K7" i="13"/>
  <c r="K4" i="13"/>
  <c r="K9" i="13"/>
  <c r="K6" i="13"/>
  <c r="K3" i="13"/>
  <c r="K10" i="13"/>
  <c r="K14" i="13" l="1"/>
  <c r="G4" i="12" l="1"/>
  <c r="H4" i="12" s="1"/>
  <c r="K4" i="12" s="1"/>
  <c r="I4" i="12"/>
  <c r="J4" i="12"/>
  <c r="O4" i="12"/>
  <c r="P4" i="12"/>
  <c r="R4" i="12"/>
  <c r="S4" i="12"/>
  <c r="T4" i="12"/>
  <c r="G5" i="12"/>
  <c r="H5" i="12" s="1"/>
  <c r="I5" i="12"/>
  <c r="J5" i="12"/>
  <c r="K5" i="12" s="1"/>
  <c r="O5" i="12"/>
  <c r="P5" i="12"/>
  <c r="Q5" i="12" s="1"/>
  <c r="R5" i="12"/>
  <c r="S5" i="12"/>
  <c r="S3" i="12"/>
  <c r="R3" i="12"/>
  <c r="T3" i="12" s="1"/>
  <c r="P3" i="12"/>
  <c r="O3" i="12"/>
  <c r="Q3" i="12" s="1"/>
  <c r="J3" i="12"/>
  <c r="I3" i="12"/>
  <c r="G3" i="12"/>
  <c r="H3" i="12" s="1"/>
  <c r="S3" i="7"/>
  <c r="R3" i="7"/>
  <c r="T3" i="7" s="1"/>
  <c r="P3" i="7"/>
  <c r="O3" i="7"/>
  <c r="Q3" i="7" s="1"/>
  <c r="Q4" i="12" l="1"/>
  <c r="T5" i="12"/>
  <c r="W4" i="12"/>
  <c r="W5" i="12"/>
  <c r="K3" i="12"/>
  <c r="W3" i="12" s="1"/>
  <c r="J3" i="7" l="1"/>
  <c r="I3" i="7" l="1"/>
  <c r="G3" i="7"/>
  <c r="H3" i="7" s="1"/>
  <c r="K3" i="7" l="1"/>
  <c r="U3" i="7" s="1"/>
  <c r="C8" i="14" l="1"/>
  <c r="C8" i="13"/>
  <c r="C15" i="13" l="1"/>
  <c r="C17" i="13" s="1"/>
  <c r="C18" i="13" s="1"/>
  <c r="C16" i="13"/>
  <c r="C15" i="14"/>
  <c r="C17" i="14" s="1"/>
  <c r="C18" i="14" s="1"/>
  <c r="C16" i="14"/>
  <c r="C12" i="14" l="1"/>
  <c r="C13" i="14" s="1"/>
  <c r="L3" i="14"/>
  <c r="L10" i="14"/>
  <c r="R10" i="14" s="1"/>
  <c r="L13" i="14"/>
  <c r="R13" i="14" s="1"/>
  <c r="L6" i="14"/>
  <c r="R6" i="14" s="1"/>
  <c r="L9" i="14"/>
  <c r="R9" i="14" s="1"/>
  <c r="L4" i="14"/>
  <c r="L12" i="14"/>
  <c r="R12" i="14" s="1"/>
  <c r="L7" i="14"/>
  <c r="R7" i="14" s="1"/>
  <c r="L11" i="14"/>
  <c r="R11" i="14" s="1"/>
  <c r="L8" i="14"/>
  <c r="R8" i="14" s="1"/>
  <c r="L5" i="14"/>
  <c r="C12" i="13"/>
  <c r="C13" i="13" s="1"/>
  <c r="L5" i="13"/>
  <c r="L7" i="13"/>
  <c r="R7" i="13" s="1"/>
  <c r="L12" i="13"/>
  <c r="R12" i="13" s="1"/>
  <c r="L8" i="13"/>
  <c r="R8" i="13" s="1"/>
  <c r="L13" i="13"/>
  <c r="R13" i="13" s="1"/>
  <c r="L4" i="13"/>
  <c r="L3" i="13"/>
  <c r="L10" i="13"/>
  <c r="R10" i="13" s="1"/>
  <c r="L9" i="13"/>
  <c r="R9" i="13" s="1"/>
  <c r="L6" i="13"/>
  <c r="R6" i="13" s="1"/>
  <c r="L11" i="13"/>
  <c r="R11" i="13" s="1"/>
  <c r="R14" i="13" l="1"/>
  <c r="L14" i="13"/>
  <c r="M7" i="13"/>
  <c r="M5" i="13"/>
  <c r="M13" i="13"/>
  <c r="M9" i="13"/>
  <c r="M4" i="13"/>
  <c r="M8" i="13"/>
  <c r="M12" i="13"/>
  <c r="M3" i="13"/>
  <c r="M10" i="13"/>
  <c r="M6" i="13"/>
  <c r="M11" i="13"/>
  <c r="R14" i="14"/>
  <c r="L14" i="14"/>
  <c r="M6" i="14"/>
  <c r="M3" i="14"/>
  <c r="M10" i="14"/>
  <c r="M13" i="14"/>
  <c r="M9" i="14"/>
  <c r="M4" i="14"/>
  <c r="M12" i="14"/>
  <c r="M7" i="14"/>
  <c r="M11" i="14"/>
  <c r="M8" i="14"/>
  <c r="M5" i="14"/>
  <c r="Q5" i="14" l="1"/>
  <c r="P5" i="14"/>
  <c r="Q8" i="14"/>
  <c r="S8" i="14"/>
  <c r="P8" i="14"/>
  <c r="P11" i="14"/>
  <c r="S11" i="14"/>
  <c r="Q11" i="14"/>
  <c r="S7" i="14"/>
  <c r="Q7" i="14"/>
  <c r="P7" i="14"/>
  <c r="S12" i="14"/>
  <c r="Q12" i="14"/>
  <c r="P12" i="14"/>
  <c r="Q4" i="14"/>
  <c r="C26" i="14" s="1"/>
  <c r="P4" i="14"/>
  <c r="B26" i="14" s="1"/>
  <c r="S9" i="14"/>
  <c r="Q9" i="14"/>
  <c r="P9" i="14"/>
  <c r="P13" i="14"/>
  <c r="S13" i="14"/>
  <c r="Q13" i="14"/>
  <c r="S10" i="14"/>
  <c r="P10" i="14"/>
  <c r="Q10" i="14"/>
  <c r="Q3" i="14"/>
  <c r="P3" i="14"/>
  <c r="M14" i="14"/>
  <c r="C20" i="14" s="1"/>
  <c r="S6" i="14"/>
  <c r="S14" i="14" s="1"/>
  <c r="Q6" i="14"/>
  <c r="C27" i="14" s="1"/>
  <c r="P6" i="14"/>
  <c r="B27" i="14" s="1"/>
  <c r="Q11" i="13"/>
  <c r="P11" i="13"/>
  <c r="S11" i="13"/>
  <c r="Q6" i="13"/>
  <c r="S6" i="13"/>
  <c r="P6" i="13"/>
  <c r="Q10" i="13"/>
  <c r="P10" i="13"/>
  <c r="S10" i="13"/>
  <c r="Q3" i="13"/>
  <c r="P3" i="13"/>
  <c r="M14" i="13"/>
  <c r="C20" i="13" s="1"/>
  <c r="S12" i="13"/>
  <c r="P12" i="13"/>
  <c r="Q12" i="13"/>
  <c r="S8" i="13"/>
  <c r="Q8" i="13"/>
  <c r="P8" i="13"/>
  <c r="Q4" i="13"/>
  <c r="C26" i="13" s="1"/>
  <c r="P4" i="13"/>
  <c r="B26" i="13" s="1"/>
  <c r="S9" i="13"/>
  <c r="Q9" i="13"/>
  <c r="P9" i="13"/>
  <c r="Q13" i="13"/>
  <c r="P13" i="13"/>
  <c r="S13" i="13"/>
  <c r="Q5" i="13"/>
  <c r="P5" i="13"/>
  <c r="Q7" i="13"/>
  <c r="P7" i="13"/>
  <c r="S7" i="13"/>
  <c r="C22" i="13" l="1"/>
  <c r="C23" i="13" s="1"/>
  <c r="C21" i="13"/>
  <c r="B28" i="13"/>
  <c r="P14" i="13"/>
  <c r="C28" i="13"/>
  <c r="Q14" i="13"/>
  <c r="C27" i="13"/>
  <c r="B27" i="13"/>
  <c r="S14" i="13"/>
  <c r="C22" i="14"/>
  <c r="C23" i="14" s="1"/>
  <c r="C21" i="14"/>
  <c r="B28" i="14"/>
  <c r="P14" i="14"/>
  <c r="C28" i="14"/>
  <c r="Q14" i="14"/>
</calcChain>
</file>

<file path=xl/sharedStrings.xml><?xml version="1.0" encoding="utf-8"?>
<sst xmlns="http://schemas.openxmlformats.org/spreadsheetml/2006/main" count="237" uniqueCount="105">
  <si>
    <t>Gas Release Event Summary</t>
  </si>
  <si>
    <t>Component(s)</t>
  </si>
  <si>
    <t>Toxic/ Flammable/ Inert</t>
  </si>
  <si>
    <t>Mole Fraction</t>
  </si>
  <si>
    <t>MW</t>
  </si>
  <si>
    <t>Mass</t>
  </si>
  <si>
    <t>Mass Fraction</t>
  </si>
  <si>
    <t>Total Quantity Released (kg)</t>
  </si>
  <si>
    <t>Qty Released in 1 hour (kg)</t>
  </si>
  <si>
    <t>Tier 1 TQ (kg)</t>
  </si>
  <si>
    <t>Tier 2 TQ (kg)</t>
  </si>
  <si>
    <t>% of Tier 1 TQ</t>
  </si>
  <si>
    <t>% of Tier 2 TQ</t>
  </si>
  <si>
    <t>Total Flammable Qty Released (SCF)</t>
  </si>
  <si>
    <t>Flammable Quantity Released in 1 hour (SCF)</t>
  </si>
  <si>
    <t xml:space="preserve">Facility:               </t>
  </si>
  <si>
    <t>Central</t>
  </si>
  <si>
    <t xml:space="preserve">Nitrogen  </t>
  </si>
  <si>
    <t>Inert</t>
  </si>
  <si>
    <t xml:space="preserve">Event Date:        </t>
  </si>
  <si>
    <t>Hydrogen Sulfide</t>
  </si>
  <si>
    <t>Toxic</t>
  </si>
  <si>
    <t xml:space="preserve">Calc. Date:          </t>
  </si>
  <si>
    <t>Carbon Dioxide</t>
  </si>
  <si>
    <t xml:space="preserve">By:                       </t>
  </si>
  <si>
    <t>Krishnaraj Sambath</t>
  </si>
  <si>
    <t>Methane</t>
  </si>
  <si>
    <t>Flammable</t>
  </si>
  <si>
    <t>Indoor/Outdoor:</t>
  </si>
  <si>
    <t>Outdoor</t>
  </si>
  <si>
    <t>Ethane</t>
  </si>
  <si>
    <t>Total quantity released:</t>
  </si>
  <si>
    <t>MCF</t>
  </si>
  <si>
    <t>Propane</t>
  </si>
  <si>
    <t>Release duration:</t>
  </si>
  <si>
    <t>Butane</t>
  </si>
  <si>
    <t>% Combusted</t>
  </si>
  <si>
    <t>Pentane</t>
  </si>
  <si>
    <t xml:space="preserve">Hexane  </t>
  </si>
  <si>
    <t>Flowrate in 1 hr:</t>
  </si>
  <si>
    <t>(See Note 1)</t>
  </si>
  <si>
    <t xml:space="preserve">Heptane  </t>
  </si>
  <si>
    <t>Qty released in 1 hr:</t>
  </si>
  <si>
    <t>Octane</t>
  </si>
  <si>
    <t>Sum:</t>
  </si>
  <si>
    <t>During total duration</t>
  </si>
  <si>
    <t>Total quantity released (in volume):</t>
  </si>
  <si>
    <t>(See Note 2)</t>
  </si>
  <si>
    <t>Total quantity released (in mass):</t>
  </si>
  <si>
    <t>Note 1:</t>
  </si>
  <si>
    <t>Override C11 if worst hour release rate is available and different</t>
  </si>
  <si>
    <t>Unburnt gas (in volume)</t>
  </si>
  <si>
    <t>Key</t>
  </si>
  <si>
    <t>2023 OEDRS</t>
  </si>
  <si>
    <t>Unburnt gas (in mass)</t>
  </si>
  <si>
    <t>Inputs</t>
  </si>
  <si>
    <t>Interim Calcs</t>
  </si>
  <si>
    <t>In one-hour period</t>
  </si>
  <si>
    <t>Quantity released in 1 hr (in volume):</t>
  </si>
  <si>
    <t>Outputs</t>
  </si>
  <si>
    <t>Quantity released in 1 hr (in mass):</t>
  </si>
  <si>
    <t>Category</t>
  </si>
  <si>
    <t>Tier 1</t>
  </si>
  <si>
    <t>Tier 2</t>
  </si>
  <si>
    <t>Note 2:</t>
  </si>
  <si>
    <t>API's 2009 GHG Compendium</t>
  </si>
  <si>
    <t>Volume Type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</si>
  <si>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[in]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</si>
  <si>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[in]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</si>
  <si>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 xml:space="preserve"> [in]</t>
    </r>
  </si>
  <si>
    <t>L [ft]</t>
  </si>
  <si>
    <t>th_1</t>
  </si>
  <si>
    <t>Vliq_Cyl</t>
  </si>
  <si>
    <t>Vliq_Caps</t>
  </si>
  <si>
    <t>V_tot</t>
  </si>
  <si>
    <t>Vol. [ft3]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</si>
  <si>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initial</t>
    </r>
    <r>
      <rPr>
        <b/>
        <sz val="11"/>
        <color theme="1"/>
        <rFont val="Calibri"/>
        <family val="2"/>
        <scheme val="minor"/>
      </rPr>
      <t xml:space="preserve"> [psig]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</si>
  <si>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final</t>
    </r>
    <r>
      <rPr>
        <b/>
        <sz val="11"/>
        <color theme="1"/>
        <rFont val="Calibri"/>
        <family val="2"/>
        <scheme val="minor"/>
      </rPr>
      <t xml:space="preserve"> [psig]</t>
    </r>
  </si>
  <si>
    <t>T [F]</t>
  </si>
  <si>
    <t>Z_LP</t>
  </si>
  <si>
    <t>Z_HP</t>
  </si>
  <si>
    <r>
      <t>Z</t>
    </r>
    <r>
      <rPr>
        <b/>
        <vertAlign val="subscript"/>
        <sz val="11"/>
        <color theme="1"/>
        <rFont val="Calibri"/>
        <family val="2"/>
        <scheme val="minor"/>
      </rPr>
      <t>initial</t>
    </r>
    <r>
      <rPr>
        <b/>
        <sz val="11"/>
        <color theme="1"/>
        <rFont val="Calibri"/>
        <family val="2"/>
        <scheme val="minor"/>
      </rPr>
      <t xml:space="preserve"> </t>
    </r>
  </si>
  <si>
    <r>
      <t>Z</t>
    </r>
    <r>
      <rPr>
        <b/>
        <vertAlign val="subscript"/>
        <sz val="11"/>
        <color theme="1"/>
        <rFont val="Calibri"/>
        <family val="2"/>
        <scheme val="minor"/>
      </rPr>
      <t>final</t>
    </r>
  </si>
  <si>
    <t>Release [MCF]</t>
  </si>
  <si>
    <t>Legend</t>
  </si>
  <si>
    <t>Pipe</t>
  </si>
  <si>
    <t>Input</t>
  </si>
  <si>
    <t>Please select the volume type that best resembles the equipment that was blown down</t>
  </si>
  <si>
    <t>Ignored</t>
  </si>
  <si>
    <t>Output</t>
  </si>
  <si>
    <t>Method:</t>
  </si>
  <si>
    <t>Based on non-ideal gas law (PV = ZnRT), number of moles in the pipeline before and after the event is computed</t>
  </si>
  <si>
    <t>The difference is converted to MCF for release estimate</t>
  </si>
  <si>
    <t>Approach:</t>
  </si>
  <si>
    <r>
      <t xml:space="preserve">If Release Volume is greater than </t>
    </r>
    <r>
      <rPr>
        <b/>
        <sz val="11"/>
        <color theme="1"/>
        <rFont val="Calibri"/>
        <family val="2"/>
        <scheme val="minor"/>
      </rPr>
      <t>100 MCF</t>
    </r>
    <r>
      <rPr>
        <sz val="11"/>
        <color theme="1"/>
        <rFont val="Calibri"/>
        <family val="2"/>
        <scheme val="minor"/>
      </rPr>
      <t>, reach out to process engineering team for verification</t>
    </r>
  </si>
  <si>
    <t>Detailed HYSYS simulations may be performed for additional / independent review</t>
  </si>
  <si>
    <t>Notes:</t>
  </si>
  <si>
    <t>If T_Gas [F] is unavailable, use 60F for a conservative estimate</t>
  </si>
  <si>
    <t>Above method is validated for 0 &lt; P &lt; 5000 psig, 40 &lt; T &lt; 150 F</t>
  </si>
  <si>
    <t>If (P, T) for your scenario is outside this range, please contact proces engineering team</t>
  </si>
  <si>
    <t>Refer to chapter 3 of AVENGERS playbook (by process engineering) for further details</t>
  </si>
  <si>
    <t>Valve Size [in]</t>
  </si>
  <si>
    <t>Duration [s]</t>
  </si>
  <si>
    <t>Sep. Vessel</t>
  </si>
  <si>
    <t>Annulus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</si>
</sst>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.0"/>
    <numFmt numFmtId="166" formatCode="#,##0.0&quot; min&quot;"/>
    <numFmt numFmtId="167" formatCode="#,##0.0&quot; kg/hr&quot;"/>
    <numFmt numFmtId="168" formatCode="#,##0.0&quot; kg&quot;"/>
    <numFmt numFmtId="169" formatCode="0.0\ &quot;MCF&quot;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-Apple-System"/>
      <charset val="1"/>
    </font>
    <font>
      <sz val="12"/>
      <color rgb="FF242424"/>
      <name val="-Apple-System"/>
      <charset val="1"/>
    </font>
    <font>
      <sz val="11"/>
      <color rgb="FF000000"/>
      <name val="-Apple-System"/>
      <charset val="1"/>
    </font>
    <font>
      <sz val="11"/>
      <color rgb="FF242424"/>
      <name val="-Apple-System"/>
      <charset val="1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  <border>
      <left/>
      <right style="thin">
        <color rgb="FFD1D1D1"/>
      </right>
      <top style="thin">
        <color rgb="FFD1D1D1"/>
      </top>
      <bottom style="thin">
        <color rgb="FFD1D1D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2" fontId="0" fillId="2" borderId="1" xfId="0" applyNumberFormat="1" applyFill="1" applyBorder="1"/>
    <xf numFmtId="0" fontId="0" fillId="3" borderId="1" xfId="0" applyFill="1" applyBorder="1"/>
    <xf numFmtId="2" fontId="0" fillId="0" borderId="0" xfId="0" applyNumberFormat="1"/>
    <xf numFmtId="0" fontId="3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14" fontId="5" fillId="4" borderId="2" xfId="0" applyNumberFormat="1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0" fillId="5" borderId="1" xfId="0" applyFill="1" applyBorder="1"/>
    <xf numFmtId="1" fontId="0" fillId="0" borderId="1" xfId="0" applyNumberFormat="1" applyBorder="1"/>
    <xf numFmtId="0" fontId="7" fillId="3" borderId="1" xfId="0" applyFont="1" applyFill="1" applyBorder="1"/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/>
    </xf>
    <xf numFmtId="0" fontId="11" fillId="8" borderId="1" xfId="0" applyFont="1" applyFill="1" applyBorder="1" applyAlignment="1" applyProtection="1">
      <alignment horizontal="left" vertical="center"/>
      <protection locked="0"/>
    </xf>
    <xf numFmtId="0" fontId="0" fillId="0" borderId="1" xfId="3" applyNumberFormat="1" applyFon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 applyProtection="1">
      <alignment vertical="center"/>
      <protection locked="0"/>
    </xf>
    <xf numFmtId="2" fontId="0" fillId="7" borderId="1" xfId="0" applyNumberFormat="1" applyFill="1" applyBorder="1" applyAlignment="1">
      <alignment vertical="center"/>
    </xf>
    <xf numFmtId="2" fontId="0" fillId="9" borderId="1" xfId="0" applyNumberFormat="1" applyFill="1" applyBorder="1" applyAlignment="1">
      <alignment vertical="center"/>
    </xf>
    <xf numFmtId="164" fontId="0" fillId="9" borderId="1" xfId="0" applyNumberFormat="1" applyFill="1" applyBorder="1" applyAlignment="1">
      <alignment vertical="center"/>
    </xf>
    <xf numFmtId="165" fontId="0" fillId="9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9" fontId="0" fillId="9" borderId="1" xfId="1" applyFont="1" applyFill="1" applyBorder="1" applyAlignment="1" applyProtection="1">
      <alignment vertical="center"/>
    </xf>
    <xf numFmtId="1" fontId="0" fillId="9" borderId="1" xfId="0" applyNumberFormat="1" applyFill="1" applyBorder="1" applyAlignment="1">
      <alignment vertical="center"/>
    </xf>
    <xf numFmtId="14" fontId="11" fillId="8" borderId="1" xfId="0" applyNumberFormat="1" applyFont="1" applyFill="1" applyBorder="1" applyAlignment="1" applyProtection="1">
      <alignment horizontal="left" vertical="center"/>
      <protection locked="0"/>
    </xf>
    <xf numFmtId="0" fontId="1" fillId="7" borderId="4" xfId="0" applyFont="1" applyFill="1" applyBorder="1" applyAlignment="1">
      <alignment vertical="center"/>
    </xf>
    <xf numFmtId="0" fontId="0" fillId="8" borderId="1" xfId="0" applyFill="1" applyBorder="1" applyProtection="1">
      <protection locked="0"/>
    </xf>
    <xf numFmtId="165" fontId="0" fillId="8" borderId="1" xfId="3" applyNumberFormat="1" applyFont="1" applyFill="1" applyBorder="1" applyAlignment="1" applyProtection="1">
      <alignment horizontal="right" vertical="center"/>
      <protection locked="0"/>
    </xf>
    <xf numFmtId="166" fontId="0" fillId="8" borderId="1" xfId="3" applyNumberFormat="1" applyFont="1" applyFill="1" applyBorder="1" applyAlignment="1" applyProtection="1">
      <alignment horizontal="right" vertical="center"/>
      <protection locked="0"/>
    </xf>
    <xf numFmtId="9" fontId="0" fillId="8" borderId="1" xfId="0" applyNumberFormat="1" applyFill="1" applyBorder="1" applyProtection="1">
      <protection locked="0"/>
    </xf>
    <xf numFmtId="167" fontId="12" fillId="10" borderId="1" xfId="3" applyNumberFormat="1" applyFont="1" applyFill="1" applyBorder="1" applyAlignment="1" applyProtection="1">
      <alignment horizontal="right" vertical="center"/>
      <protection locked="0"/>
    </xf>
    <xf numFmtId="168" fontId="12" fillId="10" borderId="1" xfId="3" applyNumberFormat="1" applyFont="1" applyFill="1" applyBorder="1" applyAlignment="1" applyProtection="1">
      <alignment horizontal="right" vertical="center"/>
    </xf>
    <xf numFmtId="0" fontId="1" fillId="11" borderId="1" xfId="0" applyFont="1" applyFill="1" applyBorder="1" applyAlignment="1">
      <alignment horizontal="left" vertical="center"/>
    </xf>
    <xf numFmtId="164" fontId="1" fillId="11" borderId="1" xfId="0" applyNumberFormat="1" applyFont="1" applyFill="1" applyBorder="1" applyAlignment="1">
      <alignment horizontal="right" vertical="center"/>
    </xf>
    <xf numFmtId="2" fontId="1" fillId="11" borderId="1" xfId="0" applyNumberFormat="1" applyFont="1" applyFill="1" applyBorder="1" applyAlignment="1">
      <alignment horizontal="right" vertical="center"/>
    </xf>
    <xf numFmtId="165" fontId="1" fillId="11" borderId="1" xfId="0" applyNumberFormat="1" applyFont="1" applyFill="1" applyBorder="1" applyAlignment="1">
      <alignment horizontal="right" vertical="center"/>
    </xf>
    <xf numFmtId="9" fontId="1" fillId="11" borderId="1" xfId="1" applyFont="1" applyFill="1" applyBorder="1" applyAlignment="1" applyProtection="1">
      <alignment horizontal="right" vertical="center"/>
    </xf>
    <xf numFmtId="1" fontId="1" fillId="11" borderId="1" xfId="0" applyNumberFormat="1" applyFont="1" applyFill="1" applyBorder="1" applyAlignment="1">
      <alignment horizontal="right" vertical="center"/>
    </xf>
    <xf numFmtId="169" fontId="11" fillId="10" borderId="1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68" fontId="0" fillId="10" borderId="1" xfId="3" applyNumberFormat="1" applyFont="1" applyFill="1" applyBorder="1" applyAlignment="1" applyProtection="1">
      <alignment horizontal="right" vertical="center"/>
    </xf>
    <xf numFmtId="0" fontId="1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9" fontId="9" fillId="6" borderId="1" xfId="4" applyFont="1" applyFill="1" applyBorder="1" applyAlignment="1" applyProtection="1">
      <alignment horizontal="center" vertical="center"/>
    </xf>
    <xf numFmtId="9" fontId="14" fillId="0" borderId="7" xfId="4" applyFont="1" applyFill="1" applyBorder="1" applyAlignment="1" applyProtection="1">
      <alignment horizontal="center" vertical="center"/>
    </xf>
    <xf numFmtId="9" fontId="11" fillId="10" borderId="1" xfId="4" applyFont="1" applyFill="1" applyBorder="1" applyAlignment="1" applyProtection="1">
      <alignment horizontal="center" vertical="center"/>
    </xf>
    <xf numFmtId="9" fontId="14" fillId="0" borderId="1" xfId="4" applyFont="1" applyFill="1" applyBorder="1" applyAlignment="1" applyProtection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2" applyAlignment="1" applyProtection="1">
      <alignment vertical="center"/>
    </xf>
    <xf numFmtId="0" fontId="0" fillId="2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</cellXfs>
  <cellStyles count="5">
    <cellStyle name="Comma 2" xfId="3" xr:uid="{954162D4-A6F3-4DA2-8EB2-06C982A62818}"/>
    <cellStyle name="Hyperlink" xfId="2" builtinId="8"/>
    <cellStyle name="Normal" xfId="0" builtinId="0"/>
    <cellStyle name="Percent" xfId="1" builtinId="5"/>
    <cellStyle name="Percent 2" xfId="4" xr:uid="{EE348675-C075-4622-97F3-893D585AF2AD}"/>
  </cellStyles>
  <dxfs count="12"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47512</xdr:colOff>
      <xdr:row>17</xdr:row>
      <xdr:rowOff>47059</xdr:rowOff>
    </xdr:from>
    <xdr:to>
      <xdr:col>11</xdr:col>
      <xdr:colOff>774170</xdr:colOff>
      <xdr:row>31</xdr:row>
      <xdr:rowOff>116456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0F740-2DDB-4750-A88A-7DCD7C468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337" y="3838009"/>
          <a:ext cx="3546058" cy="2717347"/>
        </a:xfrm>
        <a:prstGeom prst="rect">
          <a:avLst/>
        </a:prstGeom>
        <a:ln w="2286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7</xdr:col>
      <xdr:colOff>0</xdr:colOff>
      <xdr:row>34</xdr:row>
      <xdr:rowOff>76200</xdr:rowOff>
    </xdr:from>
    <xdr:to>
      <xdr:col>14</xdr:col>
      <xdr:colOff>533400</xdr:colOff>
      <xdr:row>39</xdr:row>
      <xdr:rowOff>125283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FD3A8-2BD2-4710-B678-957C9EED9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825" y="7086600"/>
          <a:ext cx="5934075" cy="10015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47512</xdr:colOff>
      <xdr:row>17</xdr:row>
      <xdr:rowOff>47059</xdr:rowOff>
    </xdr:from>
    <xdr:to>
      <xdr:col>11</xdr:col>
      <xdr:colOff>774170</xdr:colOff>
      <xdr:row>31</xdr:row>
      <xdr:rowOff>116456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D226D-3AB4-4B22-A47A-FF008BA29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337" y="3838009"/>
          <a:ext cx="3546058" cy="2717347"/>
        </a:xfrm>
        <a:prstGeom prst="rect">
          <a:avLst/>
        </a:prstGeom>
        <a:ln w="2286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7</xdr:col>
      <xdr:colOff>0</xdr:colOff>
      <xdr:row>34</xdr:row>
      <xdr:rowOff>76200</xdr:rowOff>
    </xdr:from>
    <xdr:to>
      <xdr:col>14</xdr:col>
      <xdr:colOff>533400</xdr:colOff>
      <xdr:row>39</xdr:row>
      <xdr:rowOff>125283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F877E6-F75B-4877-BECD-A24F3D2E1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825" y="7086600"/>
          <a:ext cx="5934075" cy="10015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252027</xdr:colOff>
      <xdr:row>16</xdr:row>
      <xdr:rowOff>158678</xdr:rowOff>
    </xdr:from>
    <xdr:to>
      <xdr:col>13</xdr:col>
      <xdr:colOff>80988</xdr:colOff>
      <xdr:row>32</xdr:row>
      <xdr:rowOff>157977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4162FA02-111B-9AF8-6F8F-A8CF7CD56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777" y="3301928"/>
          <a:ext cx="2581686" cy="3047299"/>
        </a:xfrm>
        <a:prstGeom prst="rect">
          <a:avLst/>
        </a:prstGeom>
      </xdr:spPr>
    </xdr:pic>
    <xdr:clientData/>
  </xdr:twoCellAnchor>
  <xdr:twoCellAnchor editAs="oneCell">
    <xdr:from>
      <xdr:col>1</xdr:col>
      <xdr:colOff>76748</xdr:colOff>
      <xdr:row>17</xdr:row>
      <xdr:rowOff>11441</xdr:rowOff>
    </xdr:from>
    <xdr:to>
      <xdr:col>4</xdr:col>
      <xdr:colOff>309185</xdr:colOff>
      <xdr:row>31</xdr:row>
      <xdr:rowOff>114713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E55FE0D8-8A6D-567E-0363-3CD323424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348" y="3345191"/>
          <a:ext cx="2346987" cy="2770272"/>
        </a:xfrm>
        <a:prstGeom prst="rect">
          <a:avLst/>
        </a:prstGeom>
      </xdr:spPr>
    </xdr:pic>
    <xdr:clientData/>
  </xdr:twoCellAnchor>
  <xdr:twoCellAnchor editAs="oneCell">
    <xdr:from>
      <xdr:col>1</xdr:col>
      <xdr:colOff>96194</xdr:colOff>
      <xdr:row>5</xdr:row>
      <xdr:rowOff>187208</xdr:rowOff>
    </xdr:from>
    <xdr:to>
      <xdr:col>10</xdr:col>
      <xdr:colOff>385134</xdr:colOff>
      <xdr:row>15</xdr:row>
      <xdr:rowOff>11921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6E1DD99-2343-9D5A-6E50-3FF8FC45C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794" y="1177808"/>
          <a:ext cx="3622690" cy="17678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252027</xdr:colOff>
      <xdr:row>16</xdr:row>
      <xdr:rowOff>158678</xdr:rowOff>
    </xdr:from>
    <xdr:to>
      <xdr:col>13</xdr:col>
      <xdr:colOff>80988</xdr:colOff>
      <xdr:row>32</xdr:row>
      <xdr:rowOff>137493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9511A-2A4F-4510-8E9B-C296145E0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777" y="3282878"/>
          <a:ext cx="2581686" cy="3047299"/>
        </a:xfrm>
        <a:prstGeom prst="rect">
          <a:avLst/>
        </a:prstGeom>
      </xdr:spPr>
    </xdr:pic>
    <xdr:clientData/>
  </xdr:twoCellAnchor>
  <xdr:twoCellAnchor editAs="oneCell">
    <xdr:from>
      <xdr:col>1</xdr:col>
      <xdr:colOff>76748</xdr:colOff>
      <xdr:row>17</xdr:row>
      <xdr:rowOff>11441</xdr:rowOff>
    </xdr:from>
    <xdr:to>
      <xdr:col>4</xdr:col>
      <xdr:colOff>309185</xdr:colOff>
      <xdr:row>31</xdr:row>
      <xdr:rowOff>104472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4991CD-CC18-4EDE-935E-993B0AD59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348" y="3326141"/>
          <a:ext cx="2346987" cy="2770272"/>
        </a:xfrm>
        <a:prstGeom prst="rect">
          <a:avLst/>
        </a:prstGeom>
      </xdr:spPr>
    </xdr:pic>
    <xdr:clientData/>
  </xdr:twoCellAnchor>
  <xdr:twoCellAnchor editAs="oneCell">
    <xdr:from>
      <xdr:col>1</xdr:col>
      <xdr:colOff>96194</xdr:colOff>
      <xdr:row>5</xdr:row>
      <xdr:rowOff>187208</xdr:rowOff>
    </xdr:from>
    <xdr:to>
      <xdr:col>10</xdr:col>
      <xdr:colOff>385134</xdr:colOff>
      <xdr:row>15</xdr:row>
      <xdr:rowOff>11921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AA5BE0-A5D3-40C0-A33F-AF0D15ED8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794" y="1177808"/>
          <a:ext cx="3622690" cy="17678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hevron-my.sharepoint.com/personal/ksambath_chevron_com1/Documents/MCBU/ReleaseCalcs/LOC_Playbook/MCBU_UG_Gas%20Release%20Rate%20Estimation%20Tool%20For%20Tier%20Classification%20Only.xlsx" TargetMode="External"/><Relationship Id="rId1" Type="http://schemas.openxmlformats.org/officeDocument/2006/relationships/externalLinkPath" Target="/personal/ksambath_chevron_com1/Documents/MCBU/ReleaseCalcs/LOC_Playbook/MCBU_UG_Gas%20Release%20Rate%20Estimation%20Tool%20For%20Tier%20Classification%20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Menu"/>
      <sheetName val="Introduction"/>
      <sheetName val="Instructions"/>
      <sheetName val="Materials"/>
      <sheetName val="Methodology"/>
      <sheetName val="OEDRS_TQ"/>
      <sheetName val="TIER Evaluation - Other Methods"/>
      <sheetName val="TIER Evaluation - UG Tool"/>
      <sheetName val="Gas-Release from Vessel"/>
      <sheetName val="Gas-Release in Piping from Tank"/>
      <sheetName val="Gas-Release in Piping"/>
      <sheetName val="Gas Discharge from PRD"/>
      <sheetName val="Liq-Release from Vessel"/>
      <sheetName val="Liq-Release in Piping"/>
      <sheetName val="Liquid Discharge from PRD"/>
      <sheetName val="Flashing Liquid- from vessel"/>
      <sheetName val="Flashing Liq- piping"/>
      <sheetName val="Flashing Liq Discharge from PRD"/>
      <sheetName val="Subsea Pipeline Rup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pi.org/~/media/files/ehs/climate-change/2009_ghg_compendium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api.org/~/media/files/ehs/climate-change/2009_ghg_compendium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2EC2-11AF-45D5-B9EB-45BB5DB15672}">
  <dimension ref="A2:S39"/>
  <sheetViews>
    <sheetView workbookViewId="0">
      <selection activeCell="E6" sqref="E6"/>
    </sheetView>
  </sheetViews>
  <sheetFormatPr defaultRowHeight="14.5"/>
  <cols>
    <col min="1" max="1" width="14.453125" customWidth="1"/>
    <col min="2" max="2" width="33.26953125" bestFit="1" customWidth="1"/>
    <col min="3" max="3" width="17.453125" bestFit="1" customWidth="1"/>
    <col min="4" max="4" width="6.453125" customWidth="1"/>
    <col min="5" max="5" width="12.1796875" customWidth="1"/>
    <col min="6" max="6" width="15.54296875" bestFit="1" customWidth="1"/>
    <col min="7" max="7" width="11.1796875" bestFit="1" customWidth="1"/>
    <col min="8" max="11" width="10.54296875" customWidth="1"/>
    <col min="12" max="12" width="13.7265625" customWidth="1"/>
    <col min="13" max="13" width="14.453125" customWidth="1"/>
    <col min="14" max="17" width="10.54296875" customWidth="1"/>
    <col min="18" max="19" width="14.453125" customWidth="1"/>
  </cols>
  <sheetData>
    <row r="2" spans="1:19" ht="58">
      <c r="B2" s="60" t="s">
        <v>0</v>
      </c>
      <c r="C2" s="60"/>
      <c r="F2" s="16" t="s">
        <v>1</v>
      </c>
      <c r="G2" s="16" t="s">
        <v>2</v>
      </c>
      <c r="H2" s="16" t="s">
        <v>3</v>
      </c>
      <c r="I2" s="16" t="s">
        <v>4</v>
      </c>
      <c r="J2" s="16" t="s">
        <v>5</v>
      </c>
      <c r="K2" s="16" t="s">
        <v>6</v>
      </c>
      <c r="L2" s="16" t="s">
        <v>7</v>
      </c>
      <c r="M2" s="16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</row>
    <row r="3" spans="1:19">
      <c r="B3" s="17" t="s">
        <v>15</v>
      </c>
      <c r="C3" s="18" t="s">
        <v>16</v>
      </c>
      <c r="F3" s="19" t="s">
        <v>17</v>
      </c>
      <c r="G3" s="20" t="s">
        <v>18</v>
      </c>
      <c r="H3" s="21">
        <v>0</v>
      </c>
      <c r="I3" s="22">
        <v>28</v>
      </c>
      <c r="J3" s="23">
        <f t="shared" ref="J3:J13" si="0">IF(H3&lt;&gt;0,H3*I3,0)</f>
        <v>0</v>
      </c>
      <c r="K3" s="24">
        <f>J3/$J$14</f>
        <v>0</v>
      </c>
      <c r="L3" s="25">
        <f>K3*$C$16</f>
        <v>0</v>
      </c>
      <c r="M3" s="25">
        <f t="shared" ref="M3:M13" si="1">K3*$C$13</f>
        <v>0</v>
      </c>
      <c r="N3" s="26">
        <f>IF($C$7="Outdoor",2000,200)</f>
        <v>2000</v>
      </c>
      <c r="O3" s="26">
        <f>IF($C$7="Outdoor",200,100)</f>
        <v>200</v>
      </c>
      <c r="P3" s="27">
        <f>IFERROR($M3/N3,"-")</f>
        <v>0</v>
      </c>
      <c r="Q3" s="27">
        <f>IFERROR($M3/O3,"-")</f>
        <v>0</v>
      </c>
      <c r="R3" s="28" t="str">
        <f>IF($G3="Flammable",(L3*836.2)/$I3,"-")</f>
        <v>-</v>
      </c>
      <c r="S3" s="28" t="str">
        <f>IF($G3="Flammable",(M3*836.2)/$I3,"-")</f>
        <v>-</v>
      </c>
    </row>
    <row r="4" spans="1:19">
      <c r="B4" s="17" t="s">
        <v>19</v>
      </c>
      <c r="C4" s="29">
        <v>45703</v>
      </c>
      <c r="F4" s="19" t="s">
        <v>20</v>
      </c>
      <c r="G4" s="20" t="s">
        <v>21</v>
      </c>
      <c r="H4" s="21">
        <v>0</v>
      </c>
      <c r="I4" s="22">
        <v>34.1</v>
      </c>
      <c r="J4" s="23">
        <f t="shared" si="0"/>
        <v>0</v>
      </c>
      <c r="K4" s="24">
        <f t="shared" ref="K4:K13" si="2">J4/$J$14</f>
        <v>0</v>
      </c>
      <c r="L4" s="25">
        <f t="shared" ref="L4:L13" si="3">K4*$C$16</f>
        <v>0</v>
      </c>
      <c r="M4" s="25">
        <f t="shared" si="1"/>
        <v>0</v>
      </c>
      <c r="N4" s="26">
        <f>IF($C$7="Outdoor",25,2.5)</f>
        <v>25</v>
      </c>
      <c r="O4" s="26">
        <f>IF($C$7="Outdoor",2.5,1.25)</f>
        <v>2.5</v>
      </c>
      <c r="P4" s="27">
        <f t="shared" ref="P4:Q13" si="4">IFERROR($M4/N4,"-")</f>
        <v>0</v>
      </c>
      <c r="Q4" s="27">
        <f t="shared" si="4"/>
        <v>0</v>
      </c>
      <c r="R4" s="28" t="str">
        <f t="shared" ref="R4:S13" si="5">IF($G4="Flammable",(L4*836.2)/$I4,"-")</f>
        <v>-</v>
      </c>
      <c r="S4" s="28" t="str">
        <f t="shared" si="5"/>
        <v>-</v>
      </c>
    </row>
    <row r="5" spans="1:19">
      <c r="B5" s="17" t="s">
        <v>22</v>
      </c>
      <c r="C5" s="29">
        <v>45703</v>
      </c>
      <c r="F5" s="19" t="s">
        <v>23</v>
      </c>
      <c r="G5" s="20" t="s">
        <v>18</v>
      </c>
      <c r="H5" s="21">
        <v>0</v>
      </c>
      <c r="I5" s="22">
        <v>44</v>
      </c>
      <c r="J5" s="23">
        <f t="shared" si="0"/>
        <v>0</v>
      </c>
      <c r="K5" s="24">
        <f t="shared" si="2"/>
        <v>0</v>
      </c>
      <c r="L5" s="25">
        <f t="shared" si="3"/>
        <v>0</v>
      </c>
      <c r="M5" s="25">
        <f t="shared" si="1"/>
        <v>0</v>
      </c>
      <c r="N5" s="26">
        <f>IF($C$7="Outdoor",2000,200)</f>
        <v>2000</v>
      </c>
      <c r="O5" s="26">
        <f>IF($C$7="Outdoor",200,100)</f>
        <v>200</v>
      </c>
      <c r="P5" s="27">
        <f t="shared" si="4"/>
        <v>0</v>
      </c>
      <c r="Q5" s="27">
        <f t="shared" si="4"/>
        <v>0</v>
      </c>
      <c r="R5" s="28" t="str">
        <f t="shared" si="5"/>
        <v>-</v>
      </c>
      <c r="S5" s="28" t="str">
        <f t="shared" si="5"/>
        <v>-</v>
      </c>
    </row>
    <row r="6" spans="1:19">
      <c r="B6" s="17" t="s">
        <v>24</v>
      </c>
      <c r="C6" s="18" t="s">
        <v>25</v>
      </c>
      <c r="F6" s="19" t="s">
        <v>26</v>
      </c>
      <c r="G6" s="20" t="s">
        <v>27</v>
      </c>
      <c r="H6" s="21">
        <v>0.75</v>
      </c>
      <c r="I6" s="22">
        <v>16.04</v>
      </c>
      <c r="J6" s="23">
        <f t="shared" si="0"/>
        <v>12.03</v>
      </c>
      <c r="K6" s="24">
        <f t="shared" si="2"/>
        <v>0.52825714662099854</v>
      </c>
      <c r="L6" s="25">
        <f t="shared" si="3"/>
        <v>10.13899531794457</v>
      </c>
      <c r="M6" s="25">
        <f t="shared" si="1"/>
        <v>2.7402690048498837</v>
      </c>
      <c r="N6" s="26">
        <f>IF($C$7="Outdoor",500,50)</f>
        <v>500</v>
      </c>
      <c r="O6" s="26">
        <f>IF($C$7="Outdoor",50,25)</f>
        <v>50</v>
      </c>
      <c r="P6" s="27">
        <f t="shared" si="4"/>
        <v>5.4805380096997671E-3</v>
      </c>
      <c r="Q6" s="27">
        <f t="shared" si="4"/>
        <v>5.4805380096997675E-2</v>
      </c>
      <c r="R6" s="28">
        <f t="shared" si="5"/>
        <v>528.56782324596327</v>
      </c>
      <c r="S6" s="28">
        <f t="shared" si="5"/>
        <v>142.85616844485494</v>
      </c>
    </row>
    <row r="7" spans="1:19">
      <c r="B7" s="30" t="s">
        <v>28</v>
      </c>
      <c r="C7" s="31" t="s">
        <v>29</v>
      </c>
      <c r="F7" s="19" t="s">
        <v>30</v>
      </c>
      <c r="G7" s="20" t="s">
        <v>27</v>
      </c>
      <c r="H7" s="21">
        <v>0.12</v>
      </c>
      <c r="I7" s="22">
        <v>30.07</v>
      </c>
      <c r="J7" s="23">
        <f t="shared" si="0"/>
        <v>3.6084000000000001</v>
      </c>
      <c r="K7" s="24">
        <f t="shared" si="2"/>
        <v>0.15845079699644316</v>
      </c>
      <c r="L7" s="25">
        <f t="shared" si="3"/>
        <v>3.0411929098313539</v>
      </c>
      <c r="M7" s="25">
        <f t="shared" si="1"/>
        <v>0.82194402968414959</v>
      </c>
      <c r="N7" s="26">
        <f>IF($C$7="Outdoor",500,50)</f>
        <v>500</v>
      </c>
      <c r="O7" s="26">
        <f>IF($C$7="Outdoor",50,25)</f>
        <v>50</v>
      </c>
      <c r="P7" s="27">
        <f>IFERROR($M7/N7,"-")</f>
        <v>1.6438880593682992E-3</v>
      </c>
      <c r="Q7" s="27">
        <f>IFERROR($M7/O7,"-")</f>
        <v>1.6438880593682991E-2</v>
      </c>
      <c r="R7" s="28">
        <f t="shared" si="5"/>
        <v>84.57085171935411</v>
      </c>
      <c r="S7" s="28">
        <f t="shared" si="5"/>
        <v>22.856986951176786</v>
      </c>
    </row>
    <row r="8" spans="1:19">
      <c r="B8" s="17" t="s">
        <v>31</v>
      </c>
      <c r="C8" s="32">
        <f>VolumeCalcs!U3</f>
        <v>0.70475709766128436</v>
      </c>
      <c r="D8" s="31" t="s">
        <v>32</v>
      </c>
      <c r="F8" s="19" t="s">
        <v>33</v>
      </c>
      <c r="G8" s="20" t="s">
        <v>27</v>
      </c>
      <c r="H8" s="21">
        <v>7.0000000000000007E-2</v>
      </c>
      <c r="I8" s="22">
        <v>44.09</v>
      </c>
      <c r="J8" s="23">
        <f t="shared" si="0"/>
        <v>3.0863000000000005</v>
      </c>
      <c r="K8" s="24">
        <f t="shared" si="2"/>
        <v>0.13552452465639137</v>
      </c>
      <c r="L8" s="25">
        <f t="shared" si="3"/>
        <v>2.6011621986510667</v>
      </c>
      <c r="M8" s="25">
        <f t="shared" si="1"/>
        <v>0.70301681044623421</v>
      </c>
      <c r="N8" s="26">
        <f>IF($C$7="Outdoor",500,50)</f>
        <v>500</v>
      </c>
      <c r="O8" s="26">
        <f>IF($C$7="Outdoor",50,25)</f>
        <v>50</v>
      </c>
      <c r="P8" s="27">
        <f t="shared" si="4"/>
        <v>1.4060336208924684E-3</v>
      </c>
      <c r="Q8" s="27">
        <f t="shared" si="4"/>
        <v>1.4060336208924685E-2</v>
      </c>
      <c r="R8" s="28">
        <f t="shared" si="5"/>
        <v>49.332996836289908</v>
      </c>
      <c r="S8" s="28">
        <f t="shared" si="5"/>
        <v>13.333242388186459</v>
      </c>
    </row>
    <row r="9" spans="1:19">
      <c r="B9" s="17" t="s">
        <v>34</v>
      </c>
      <c r="C9" s="33">
        <v>222</v>
      </c>
      <c r="F9" s="19" t="s">
        <v>35</v>
      </c>
      <c r="G9" s="20" t="s">
        <v>27</v>
      </c>
      <c r="H9" s="21">
        <v>0.03</v>
      </c>
      <c r="I9" s="22">
        <v>58.12</v>
      </c>
      <c r="J9" s="23">
        <f t="shared" si="0"/>
        <v>1.7435999999999998</v>
      </c>
      <c r="K9" s="24">
        <f t="shared" si="2"/>
        <v>7.6564352522724269E-2</v>
      </c>
      <c r="L9" s="25">
        <f t="shared" si="3"/>
        <v>1.4695222141619411</v>
      </c>
      <c r="M9" s="25">
        <f t="shared" si="1"/>
        <v>0.39716816598971372</v>
      </c>
      <c r="N9" s="26">
        <f>IF($C$7="Outdoor",500,50)</f>
        <v>500</v>
      </c>
      <c r="O9" s="26">
        <f>IF($C$7="Outdoor",50,25)</f>
        <v>50</v>
      </c>
      <c r="P9" s="27">
        <f t="shared" si="4"/>
        <v>7.9433633197942743E-4</v>
      </c>
      <c r="Q9" s="27">
        <f t="shared" si="4"/>
        <v>7.9433633197942746E-3</v>
      </c>
      <c r="R9" s="28">
        <f t="shared" si="5"/>
        <v>21.142712929838527</v>
      </c>
      <c r="S9" s="28">
        <f t="shared" si="5"/>
        <v>5.7142467377941957</v>
      </c>
    </row>
    <row r="10" spans="1:19">
      <c r="B10" s="17" t="s">
        <v>36</v>
      </c>
      <c r="C10" s="34">
        <v>0</v>
      </c>
      <c r="F10" s="19" t="s">
        <v>37</v>
      </c>
      <c r="G10" s="20" t="s">
        <v>27</v>
      </c>
      <c r="H10" s="21">
        <v>0.02</v>
      </c>
      <c r="I10" s="22">
        <v>72.150000000000006</v>
      </c>
      <c r="J10" s="23">
        <f t="shared" si="0"/>
        <v>1.4430000000000001</v>
      </c>
      <c r="K10" s="24">
        <f t="shared" si="2"/>
        <v>6.3364510604663415E-2</v>
      </c>
      <c r="L10" s="25">
        <f t="shared" si="3"/>
        <v>1.2161737526013312</v>
      </c>
      <c r="M10" s="25">
        <f t="shared" si="1"/>
        <v>0.32869560881117055</v>
      </c>
      <c r="N10" s="26">
        <f>IF($C$7="Outdoor",500,50)</f>
        <v>500</v>
      </c>
      <c r="O10" s="26">
        <f>IF($C$7="Outdoor",50,25)</f>
        <v>50</v>
      </c>
      <c r="P10" s="27">
        <f t="shared" si="4"/>
        <v>6.5739121762234105E-4</v>
      </c>
      <c r="Q10" s="27">
        <f t="shared" si="4"/>
        <v>6.5739121762234112E-3</v>
      </c>
      <c r="R10" s="28">
        <f t="shared" si="5"/>
        <v>14.095141953225685</v>
      </c>
      <c r="S10" s="28">
        <f t="shared" si="5"/>
        <v>3.80949782519613</v>
      </c>
    </row>
    <row r="11" spans="1:19">
      <c r="F11" s="19" t="s">
        <v>38</v>
      </c>
      <c r="G11" s="20" t="s">
        <v>27</v>
      </c>
      <c r="H11" s="21">
        <v>0.01</v>
      </c>
      <c r="I11" s="22">
        <v>86.17</v>
      </c>
      <c r="J11" s="23">
        <f t="shared" si="0"/>
        <v>0.86170000000000002</v>
      </c>
      <c r="K11" s="24">
        <f t="shared" si="2"/>
        <v>3.7838668598779254E-2</v>
      </c>
      <c r="L11" s="25">
        <f t="shared" si="3"/>
        <v>0.72624873362201459</v>
      </c>
      <c r="M11" s="25">
        <f t="shared" si="1"/>
        <v>0.19628344151946339</v>
      </c>
      <c r="N11" s="26">
        <f>IF($C$7="Outdoor",1000,100)</f>
        <v>1000</v>
      </c>
      <c r="O11" s="26">
        <f>IF($C$7="Outdoor",100,50)</f>
        <v>100</v>
      </c>
      <c r="P11" s="27">
        <f t="shared" si="4"/>
        <v>1.9628344151946338E-4</v>
      </c>
      <c r="Q11" s="27">
        <f t="shared" si="4"/>
        <v>1.962834415194634E-3</v>
      </c>
      <c r="R11" s="28">
        <f t="shared" si="5"/>
        <v>7.0475709766128416</v>
      </c>
      <c r="S11" s="28">
        <f t="shared" si="5"/>
        <v>1.9047489125980652</v>
      </c>
    </row>
    <row r="12" spans="1:19">
      <c r="B12" s="17" t="s">
        <v>39</v>
      </c>
      <c r="C12" s="35">
        <f>IF(C9&lt;=60,C16,C16/C9*60)</f>
        <v>5.1873770613006149</v>
      </c>
      <c r="D12" t="s">
        <v>40</v>
      </c>
      <c r="F12" s="19" t="s">
        <v>41</v>
      </c>
      <c r="G12" s="20" t="s">
        <v>27</v>
      </c>
      <c r="H12" s="21">
        <v>0</v>
      </c>
      <c r="I12" s="22">
        <v>100.2</v>
      </c>
      <c r="J12" s="23">
        <f t="shared" si="0"/>
        <v>0</v>
      </c>
      <c r="K12" s="24">
        <f t="shared" si="2"/>
        <v>0</v>
      </c>
      <c r="L12" s="25">
        <f t="shared" si="3"/>
        <v>0</v>
      </c>
      <c r="M12" s="25">
        <f t="shared" si="1"/>
        <v>0</v>
      </c>
      <c r="N12" s="26">
        <f>IF($C$7="Outdoor",1000,100)</f>
        <v>1000</v>
      </c>
      <c r="O12" s="26">
        <f>IF($C$7="Outdoor",100,50)</f>
        <v>100</v>
      </c>
      <c r="P12" s="27">
        <f t="shared" si="4"/>
        <v>0</v>
      </c>
      <c r="Q12" s="27">
        <f t="shared" si="4"/>
        <v>0</v>
      </c>
      <c r="R12" s="28">
        <f t="shared" si="5"/>
        <v>0</v>
      </c>
      <c r="S12" s="28">
        <f t="shared" si="5"/>
        <v>0</v>
      </c>
    </row>
    <row r="13" spans="1:19">
      <c r="B13" s="17" t="s">
        <v>42</v>
      </c>
      <c r="C13" s="36">
        <f>C12</f>
        <v>5.1873770613006149</v>
      </c>
      <c r="F13" s="19" t="s">
        <v>43</v>
      </c>
      <c r="G13" s="20" t="s">
        <v>27</v>
      </c>
      <c r="H13" s="21">
        <v>0</v>
      </c>
      <c r="I13" s="22">
        <v>114.22</v>
      </c>
      <c r="J13" s="23">
        <f t="shared" si="0"/>
        <v>0</v>
      </c>
      <c r="K13" s="24">
        <f t="shared" si="2"/>
        <v>0</v>
      </c>
      <c r="L13" s="25">
        <f t="shared" si="3"/>
        <v>0</v>
      </c>
      <c r="M13" s="25">
        <f t="shared" si="1"/>
        <v>0</v>
      </c>
      <c r="N13" s="26">
        <f>IF($C$7="Outdoor",1000,100)</f>
        <v>1000</v>
      </c>
      <c r="O13" s="26">
        <f>IF($C$7="Outdoor",100,50)</f>
        <v>100</v>
      </c>
      <c r="P13" s="27">
        <f t="shared" si="4"/>
        <v>0</v>
      </c>
      <c r="Q13" s="27">
        <f t="shared" si="4"/>
        <v>0</v>
      </c>
      <c r="R13" s="28">
        <f t="shared" si="5"/>
        <v>0</v>
      </c>
      <c r="S13" s="28">
        <f t="shared" si="5"/>
        <v>0</v>
      </c>
    </row>
    <row r="14" spans="1:19">
      <c r="F14" s="37" t="s">
        <v>44</v>
      </c>
      <c r="G14" s="37"/>
      <c r="H14" s="38">
        <f>SUM(H3:H13)</f>
        <v>1</v>
      </c>
      <c r="I14" s="37"/>
      <c r="J14" s="39">
        <f>SUM(J3:J13)</f>
        <v>22.773</v>
      </c>
      <c r="K14" s="38">
        <f>SUM(K3:K13)</f>
        <v>1</v>
      </c>
      <c r="L14" s="40">
        <f>SUM(L3:L13)</f>
        <v>19.193295126812277</v>
      </c>
      <c r="M14" s="40">
        <f>SUM(M3:M13)</f>
        <v>5.1873770613006149</v>
      </c>
      <c r="N14" s="37"/>
      <c r="O14" s="37"/>
      <c r="P14" s="41">
        <f>SUM(P3:P13)</f>
        <v>1.0178470681081766E-2</v>
      </c>
      <c r="Q14" s="41">
        <f>SUM(Q3:Q13)</f>
        <v>0.10178470681081768</v>
      </c>
      <c r="R14" s="42">
        <f>SUM(R3:R13)</f>
        <v>704.75709766128443</v>
      </c>
      <c r="S14" s="42">
        <f>SUM(S3:S13)</f>
        <v>190.47489125980655</v>
      </c>
    </row>
    <row r="15" spans="1:19" ht="14.5" customHeight="1">
      <c r="A15" s="61" t="s">
        <v>45</v>
      </c>
      <c r="B15" s="17" t="s">
        <v>46</v>
      </c>
      <c r="C15" s="43">
        <f>IF(D8="MCF",C8,C8*836.2/J14/1000)</f>
        <v>0.70475709766128436</v>
      </c>
      <c r="D15" t="s">
        <v>47</v>
      </c>
      <c r="F15" s="44"/>
      <c r="G15" s="44"/>
      <c r="H15" s="44"/>
      <c r="I15" s="44"/>
      <c r="J15" s="44"/>
      <c r="N15" s="44"/>
      <c r="R15" s="44"/>
      <c r="S15" s="44"/>
    </row>
    <row r="16" spans="1:19" ht="14.5" customHeight="1">
      <c r="A16" s="62"/>
      <c r="B16" s="17" t="s">
        <v>48</v>
      </c>
      <c r="C16" s="45">
        <f>IF(D8="kg",C8,C8*1000/836.2*J14)</f>
        <v>19.193295126812277</v>
      </c>
      <c r="F16" s="44"/>
      <c r="G16" s="44"/>
      <c r="H16" s="44" t="s">
        <v>49</v>
      </c>
      <c r="I16" s="44" t="s">
        <v>50</v>
      </c>
      <c r="J16" s="44"/>
      <c r="N16" s="44"/>
      <c r="R16" s="44"/>
      <c r="S16" s="44"/>
    </row>
    <row r="17" spans="1:19">
      <c r="A17" s="62"/>
      <c r="B17" s="17" t="s">
        <v>51</v>
      </c>
      <c r="C17" s="43">
        <f>C15*(1-$C$10)</f>
        <v>0.70475709766128436</v>
      </c>
      <c r="F17" s="46" t="s">
        <v>52</v>
      </c>
      <c r="G17" s="44"/>
      <c r="H17" t="s">
        <v>53</v>
      </c>
      <c r="I17" s="44"/>
      <c r="J17" s="44"/>
      <c r="N17" s="44"/>
      <c r="R17" s="44"/>
      <c r="S17" s="44"/>
    </row>
    <row r="18" spans="1:19">
      <c r="A18" s="62"/>
      <c r="B18" s="17" t="s">
        <v>54</v>
      </c>
      <c r="C18" s="45">
        <f>(C17/836.2)*J14*1000</f>
        <v>19.193295126812277</v>
      </c>
      <c r="F18" s="47" t="s">
        <v>55</v>
      </c>
      <c r="G18" s="44"/>
      <c r="H18" s="44"/>
      <c r="I18" s="44"/>
      <c r="J18" s="44"/>
      <c r="N18" s="44"/>
      <c r="O18" s="44"/>
      <c r="P18" s="48"/>
      <c r="Q18" s="44"/>
      <c r="R18" s="44"/>
      <c r="S18" s="49"/>
    </row>
    <row r="19" spans="1:19" ht="14.5" customHeight="1">
      <c r="F19" s="50" t="s">
        <v>56</v>
      </c>
      <c r="G19" s="44"/>
      <c r="H19" s="44"/>
      <c r="I19" s="44"/>
      <c r="J19" s="44"/>
      <c r="N19" s="44"/>
      <c r="R19" s="44"/>
      <c r="S19" s="49"/>
    </row>
    <row r="20" spans="1:19" ht="14.5" customHeight="1">
      <c r="A20" s="61" t="s">
        <v>57</v>
      </c>
      <c r="B20" s="17" t="s">
        <v>58</v>
      </c>
      <c r="C20" s="43">
        <f>M14*836.2/J14/1000</f>
        <v>0.19047489125980654</v>
      </c>
      <c r="F20" s="51" t="s">
        <v>59</v>
      </c>
      <c r="G20" s="44"/>
      <c r="I20" s="44"/>
      <c r="J20" s="44"/>
      <c r="N20" s="44"/>
      <c r="R20" s="44"/>
      <c r="S20" s="49"/>
    </row>
    <row r="21" spans="1:19" ht="15.65" customHeight="1">
      <c r="A21" s="62"/>
      <c r="B21" s="17" t="s">
        <v>60</v>
      </c>
      <c r="C21" s="45">
        <f>C20*1000/836.2*J14</f>
        <v>5.1873770613006149</v>
      </c>
      <c r="F21" s="44"/>
      <c r="G21" s="44"/>
      <c r="H21" s="44"/>
      <c r="I21" s="44"/>
      <c r="J21" s="44"/>
      <c r="N21" s="44"/>
      <c r="R21" s="44"/>
      <c r="S21" s="49"/>
    </row>
    <row r="22" spans="1:19">
      <c r="A22" s="62"/>
      <c r="B22" s="17" t="s">
        <v>51</v>
      </c>
      <c r="C22" s="43">
        <f>C20*(1-$C$10)</f>
        <v>0.19047489125980654</v>
      </c>
      <c r="F22" s="44"/>
      <c r="G22" s="44"/>
      <c r="H22" s="44"/>
      <c r="I22" s="44"/>
      <c r="J22" s="44"/>
      <c r="N22" s="44"/>
      <c r="R22" s="44"/>
      <c r="S22" s="49"/>
    </row>
    <row r="23" spans="1:19">
      <c r="A23" s="62"/>
      <c r="B23" s="17" t="s">
        <v>54</v>
      </c>
      <c r="C23" s="45">
        <f>(C22/836.2)*J14*1000</f>
        <v>5.1873770613006149</v>
      </c>
      <c r="F23" s="44"/>
      <c r="G23" s="44"/>
      <c r="H23" s="44"/>
      <c r="I23" s="44"/>
      <c r="J23" s="44"/>
      <c r="N23" s="44"/>
      <c r="R23" s="44"/>
      <c r="S23" s="49"/>
    </row>
    <row r="24" spans="1:19">
      <c r="F24" s="44"/>
      <c r="G24" s="44"/>
      <c r="H24" s="44"/>
      <c r="I24" s="44"/>
      <c r="J24" s="44"/>
      <c r="N24" s="44"/>
      <c r="R24" s="44"/>
      <c r="S24" s="49"/>
    </row>
    <row r="25" spans="1:19">
      <c r="A25" s="15" t="s">
        <v>61</v>
      </c>
      <c r="B25" s="52" t="s">
        <v>62</v>
      </c>
      <c r="C25" s="52" t="s">
        <v>63</v>
      </c>
      <c r="F25" s="44"/>
      <c r="G25" s="44"/>
      <c r="H25" s="44"/>
      <c r="I25" s="44"/>
      <c r="J25" s="44"/>
      <c r="N25" s="44"/>
      <c r="R25" s="44"/>
      <c r="S25" s="49"/>
    </row>
    <row r="26" spans="1:19">
      <c r="A26" s="53" t="s">
        <v>21</v>
      </c>
      <c r="B26" s="54">
        <f>SUMIF($G$3:$G$13,$A26,$P$3:$P$13)</f>
        <v>0</v>
      </c>
      <c r="C26" s="54">
        <f>SUMIF($G$3:$G$13,$A26,$Q$3:$Q$13)</f>
        <v>0</v>
      </c>
      <c r="F26" s="44"/>
      <c r="G26" s="44"/>
      <c r="H26" s="44"/>
      <c r="I26" s="44"/>
      <c r="J26" s="44"/>
      <c r="K26" s="44"/>
      <c r="O26" s="44"/>
      <c r="P26" s="48"/>
      <c r="Q26" s="44"/>
      <c r="R26" s="44"/>
      <c r="S26" s="49"/>
    </row>
    <row r="27" spans="1:19">
      <c r="A27" s="55" t="s">
        <v>27</v>
      </c>
      <c r="B27" s="54">
        <f>SUMIF($G$3:$G$13,$A27,$P$3:$P$13)</f>
        <v>1.0178470681081766E-2</v>
      </c>
      <c r="C27" s="54">
        <f>SUMIF($G$3:$G$13,$A27,$Q$3:$Q$13)</f>
        <v>0.10178470681081768</v>
      </c>
      <c r="F27" s="44"/>
      <c r="G27" s="44"/>
      <c r="H27" s="44"/>
      <c r="I27" s="44"/>
      <c r="J27" s="44"/>
      <c r="K27" s="44"/>
      <c r="O27" s="44"/>
      <c r="P27" s="48"/>
      <c r="Q27" s="44"/>
      <c r="R27" s="44"/>
      <c r="S27" s="49"/>
    </row>
    <row r="28" spans="1:19">
      <c r="A28" s="55" t="s">
        <v>18</v>
      </c>
      <c r="B28" s="54">
        <f>SUMIF($G$3:$G$13,$A28,$P$3:$P$13)</f>
        <v>0</v>
      </c>
      <c r="C28" s="54">
        <f>SUMIF($G$3:$G$13,$A28,$Q$3:$Q$13)</f>
        <v>0</v>
      </c>
      <c r="F28" s="44"/>
      <c r="G28" s="44"/>
      <c r="H28" s="44"/>
      <c r="I28" s="44"/>
      <c r="J28" s="44"/>
      <c r="K28" s="44"/>
      <c r="O28" s="44"/>
      <c r="P28" s="48"/>
      <c r="Q28" s="44"/>
      <c r="R28" s="44"/>
      <c r="S28" s="49"/>
    </row>
    <row r="29" spans="1:19">
      <c r="F29" s="44"/>
      <c r="G29" s="44"/>
      <c r="H29" s="44"/>
      <c r="I29" s="44"/>
      <c r="J29" s="44"/>
      <c r="K29" s="44"/>
      <c r="L29" s="44"/>
      <c r="M29" s="56"/>
      <c r="N29" s="44"/>
      <c r="O29" s="44"/>
      <c r="P29" s="48"/>
      <c r="Q29" s="44"/>
      <c r="R29" s="44"/>
      <c r="S29" s="49"/>
    </row>
    <row r="30" spans="1:19">
      <c r="F30" s="44"/>
      <c r="G30" s="44"/>
      <c r="H30" s="44"/>
      <c r="I30" s="44"/>
      <c r="J30" s="44"/>
      <c r="K30" s="44"/>
      <c r="L30" s="44"/>
      <c r="M30" s="56"/>
      <c r="N30" s="44"/>
      <c r="O30" s="44"/>
      <c r="P30" s="48"/>
      <c r="Q30" s="44"/>
      <c r="R30" s="44"/>
      <c r="S30" s="49"/>
    </row>
    <row r="31" spans="1:19">
      <c r="F31" s="44"/>
      <c r="G31" s="44"/>
      <c r="H31" s="44"/>
      <c r="I31" s="44"/>
      <c r="J31" s="44"/>
      <c r="K31" s="44"/>
      <c r="L31" s="44"/>
      <c r="M31" s="56"/>
      <c r="N31" s="44"/>
      <c r="O31" s="44"/>
      <c r="P31" s="48"/>
      <c r="Q31" s="44"/>
      <c r="R31" s="44"/>
      <c r="S31" s="49"/>
    </row>
    <row r="32" spans="1:19">
      <c r="F32" s="44"/>
      <c r="G32" s="44"/>
      <c r="H32" s="44"/>
      <c r="I32" s="44"/>
      <c r="J32" s="44"/>
      <c r="K32" s="44"/>
      <c r="L32" s="44"/>
      <c r="M32" s="57"/>
      <c r="N32" s="44"/>
      <c r="O32" s="44"/>
      <c r="P32" s="48"/>
      <c r="Q32" s="44"/>
      <c r="R32" s="44"/>
      <c r="S32" s="49"/>
    </row>
    <row r="33" spans="6:19">
      <c r="F33" s="44"/>
      <c r="G33" s="44"/>
      <c r="H33" s="44" t="s">
        <v>64</v>
      </c>
      <c r="I33" s="44"/>
      <c r="J33" s="44"/>
      <c r="K33" s="44"/>
      <c r="L33" s="44"/>
      <c r="M33" s="57"/>
      <c r="N33" s="44"/>
      <c r="O33" s="44"/>
      <c r="P33" s="48"/>
      <c r="Q33" s="44"/>
      <c r="R33" s="44"/>
      <c r="S33" s="49"/>
    </row>
    <row r="34" spans="6:19">
      <c r="F34" s="44"/>
      <c r="H34" s="58" t="s">
        <v>65</v>
      </c>
      <c r="I34" s="44"/>
      <c r="J34" s="44"/>
      <c r="L34" s="44"/>
      <c r="O34" s="44"/>
      <c r="P34" s="48"/>
      <c r="Q34" s="44"/>
      <c r="R34" s="44"/>
      <c r="S34" s="49"/>
    </row>
    <row r="35" spans="6:19">
      <c r="F35" s="44"/>
      <c r="G35" s="44"/>
      <c r="H35" s="44"/>
      <c r="I35" s="44"/>
      <c r="J35" s="44"/>
      <c r="L35" s="44"/>
      <c r="O35" s="44"/>
      <c r="P35" s="48"/>
      <c r="Q35" s="44"/>
      <c r="R35" s="44"/>
      <c r="S35" s="49"/>
    </row>
    <row r="36" spans="6:19">
      <c r="L36" s="44"/>
      <c r="O36" s="44"/>
      <c r="P36" s="48"/>
      <c r="Q36" s="44"/>
      <c r="R36" s="44"/>
      <c r="S36" s="49"/>
    </row>
    <row r="37" spans="6:19">
      <c r="L37" s="44"/>
      <c r="O37" s="44"/>
      <c r="P37" s="48"/>
      <c r="Q37" s="44"/>
      <c r="R37" s="44"/>
      <c r="S37" s="49"/>
    </row>
    <row r="38" spans="6:19">
      <c r="L38" s="44"/>
      <c r="O38" s="44"/>
      <c r="P38" s="48"/>
      <c r="Q38" s="44"/>
      <c r="R38" s="44"/>
      <c r="S38" s="49"/>
    </row>
    <row r="39" spans="6:19">
      <c r="L39" s="44"/>
    </row>
  </sheetData>
  <mergeCells count="3">
    <mergeCell ref="B2:C2"/>
    <mergeCell ref="A15:A18"/>
    <mergeCell ref="A20:A23"/>
  </mergeCells>
  <conditionalFormatting sqref="B26:C28">
    <cfRule type="cellIs" dxfId="11" priority="2" operator="greaterThan">
      <formula>1</formula>
    </cfRule>
  </conditionalFormatting>
  <conditionalFormatting sqref="H14">
    <cfRule type="cellIs" dxfId="10" priority="1" operator="greaterThan">
      <formula>1</formula>
    </cfRule>
  </conditionalFormatting>
  <dataValidations count="2">
    <dataValidation type="list" allowBlank="1" showInputMessage="1" showErrorMessage="1" sqref="C7" xr:uid="{40324DBC-25CF-4597-B153-4E1DABEC2C08}">
      <formula1>"Indoor, Outdoor"</formula1>
    </dataValidation>
    <dataValidation type="list" allowBlank="1" showInputMessage="1" showErrorMessage="1" sqref="D8" xr:uid="{FA281061-31B5-44F7-B802-50494717759D}">
      <formula1>"MCF, kg"</formula1>
    </dataValidation>
  </dataValidations>
  <hyperlinks>
    <hyperlink ref="H34" r:id="rId1" xr:uid="{E84D687D-CB77-4A36-9370-66BC0B0CBE2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7479-6B4B-4568-BCC6-A5DCDCA2C786}">
  <dimension ref="A2:S39"/>
  <sheetViews>
    <sheetView workbookViewId="0">
      <selection activeCell="C10" sqref="C10"/>
    </sheetView>
  </sheetViews>
  <sheetFormatPr defaultRowHeight="14.5"/>
  <cols>
    <col min="1" max="1" width="14.453125" customWidth="1"/>
    <col min="2" max="2" width="33.26953125" bestFit="1" customWidth="1"/>
    <col min="3" max="3" width="17.453125" bestFit="1" customWidth="1"/>
    <col min="4" max="4" width="6.453125" customWidth="1"/>
    <col min="5" max="5" width="12.1796875" customWidth="1"/>
    <col min="6" max="6" width="15.54296875" bestFit="1" customWidth="1"/>
    <col min="7" max="7" width="11.1796875" bestFit="1" customWidth="1"/>
    <col min="8" max="11" width="10.54296875" customWidth="1"/>
    <col min="12" max="12" width="13.7265625" customWidth="1"/>
    <col min="13" max="13" width="14.453125" customWidth="1"/>
    <col min="14" max="17" width="10.54296875" customWidth="1"/>
    <col min="18" max="19" width="14.453125" customWidth="1"/>
  </cols>
  <sheetData>
    <row r="2" spans="1:19" ht="58">
      <c r="B2" s="60" t="s">
        <v>0</v>
      </c>
      <c r="C2" s="60"/>
      <c r="F2" s="16" t="s">
        <v>1</v>
      </c>
      <c r="G2" s="16" t="s">
        <v>2</v>
      </c>
      <c r="H2" s="16" t="s">
        <v>3</v>
      </c>
      <c r="I2" s="16" t="s">
        <v>4</v>
      </c>
      <c r="J2" s="16" t="s">
        <v>5</v>
      </c>
      <c r="K2" s="16" t="s">
        <v>6</v>
      </c>
      <c r="L2" s="16" t="s">
        <v>7</v>
      </c>
      <c r="M2" s="16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</row>
    <row r="3" spans="1:19">
      <c r="B3" s="17" t="s">
        <v>15</v>
      </c>
      <c r="C3" s="18" t="s">
        <v>16</v>
      </c>
      <c r="F3" s="19" t="s">
        <v>17</v>
      </c>
      <c r="G3" s="20" t="s">
        <v>18</v>
      </c>
      <c r="H3" s="21">
        <v>0</v>
      </c>
      <c r="I3" s="22">
        <v>28</v>
      </c>
      <c r="J3" s="23">
        <f t="shared" ref="J3:J13" si="0">IF(H3&lt;&gt;0,H3*I3,0)</f>
        <v>0</v>
      </c>
      <c r="K3" s="24">
        <f>J3/$J$14</f>
        <v>0</v>
      </c>
      <c r="L3" s="25">
        <f>K3*$C$16</f>
        <v>0</v>
      </c>
      <c r="M3" s="25">
        <f t="shared" ref="M3:M13" si="1">K3*$C$13</f>
        <v>0</v>
      </c>
      <c r="N3" s="26">
        <f>IF($C$7="Outdoor",2000,200)</f>
        <v>2000</v>
      </c>
      <c r="O3" s="26">
        <f>IF($C$7="Outdoor",200,100)</f>
        <v>200</v>
      </c>
      <c r="P3" s="27">
        <f>IFERROR($M3/N3,"-")</f>
        <v>0</v>
      </c>
      <c r="Q3" s="27">
        <f>IFERROR($M3/O3,"-")</f>
        <v>0</v>
      </c>
      <c r="R3" s="28" t="str">
        <f>IF($G3="Flammable",(L3*836.2)/$I3,"-")</f>
        <v>-</v>
      </c>
      <c r="S3" s="28" t="str">
        <f>IF($G3="Flammable",(M3*836.2)/$I3,"-")</f>
        <v>-</v>
      </c>
    </row>
    <row r="4" spans="1:19">
      <c r="B4" s="17" t="s">
        <v>19</v>
      </c>
      <c r="C4" s="29">
        <v>45703</v>
      </c>
      <c r="F4" s="19" t="s">
        <v>20</v>
      </c>
      <c r="G4" s="20" t="s">
        <v>21</v>
      </c>
      <c r="H4" s="21">
        <v>0</v>
      </c>
      <c r="I4" s="22">
        <v>34.1</v>
      </c>
      <c r="J4" s="23">
        <f t="shared" si="0"/>
        <v>0</v>
      </c>
      <c r="K4" s="24">
        <f t="shared" ref="K4:K13" si="2">J4/$J$14</f>
        <v>0</v>
      </c>
      <c r="L4" s="25">
        <f t="shared" ref="L4:L13" si="3">K4*$C$16</f>
        <v>0</v>
      </c>
      <c r="M4" s="25">
        <f t="shared" si="1"/>
        <v>0</v>
      </c>
      <c r="N4" s="26">
        <f>IF($C$7="Outdoor",25,2.5)</f>
        <v>25</v>
      </c>
      <c r="O4" s="26">
        <f>IF($C$7="Outdoor",2.5,1.25)</f>
        <v>2.5</v>
      </c>
      <c r="P4" s="27">
        <f t="shared" ref="P4:Q13" si="4">IFERROR($M4/N4,"-")</f>
        <v>0</v>
      </c>
      <c r="Q4" s="27">
        <f t="shared" si="4"/>
        <v>0</v>
      </c>
      <c r="R4" s="28" t="str">
        <f t="shared" ref="R4:S13" si="5">IF($G4="Flammable",(L4*836.2)/$I4,"-")</f>
        <v>-</v>
      </c>
      <c r="S4" s="28" t="str">
        <f t="shared" si="5"/>
        <v>-</v>
      </c>
    </row>
    <row r="5" spans="1:19">
      <c r="B5" s="17" t="s">
        <v>22</v>
      </c>
      <c r="C5" s="29">
        <v>45703</v>
      </c>
      <c r="F5" s="19" t="s">
        <v>23</v>
      </c>
      <c r="G5" s="20" t="s">
        <v>18</v>
      </c>
      <c r="H5" s="21">
        <v>0</v>
      </c>
      <c r="I5" s="22">
        <v>44</v>
      </c>
      <c r="J5" s="23">
        <f t="shared" si="0"/>
        <v>0</v>
      </c>
      <c r="K5" s="24">
        <f t="shared" si="2"/>
        <v>0</v>
      </c>
      <c r="L5" s="25">
        <f t="shared" si="3"/>
        <v>0</v>
      </c>
      <c r="M5" s="25">
        <f t="shared" si="1"/>
        <v>0</v>
      </c>
      <c r="N5" s="26">
        <f>IF($C$7="Outdoor",2000,200)</f>
        <v>2000</v>
      </c>
      <c r="O5" s="26">
        <f>IF($C$7="Outdoor",200,100)</f>
        <v>200</v>
      </c>
      <c r="P5" s="27">
        <f t="shared" si="4"/>
        <v>0</v>
      </c>
      <c r="Q5" s="27">
        <f t="shared" si="4"/>
        <v>0</v>
      </c>
      <c r="R5" s="28" t="str">
        <f t="shared" si="5"/>
        <v>-</v>
      </c>
      <c r="S5" s="28" t="str">
        <f t="shared" si="5"/>
        <v>-</v>
      </c>
    </row>
    <row r="6" spans="1:19">
      <c r="B6" s="17" t="s">
        <v>24</v>
      </c>
      <c r="C6" s="18" t="s">
        <v>25</v>
      </c>
      <c r="F6" s="19" t="s">
        <v>26</v>
      </c>
      <c r="G6" s="20" t="s">
        <v>27</v>
      </c>
      <c r="H6" s="21">
        <v>0.75</v>
      </c>
      <c r="I6" s="22">
        <v>16.04</v>
      </c>
      <c r="J6" s="23">
        <f t="shared" si="0"/>
        <v>12.03</v>
      </c>
      <c r="K6" s="24">
        <f t="shared" si="2"/>
        <v>0.52825714662099854</v>
      </c>
      <c r="L6" s="25">
        <f t="shared" si="3"/>
        <v>10.13899531794457</v>
      </c>
      <c r="M6" s="25">
        <f t="shared" si="1"/>
        <v>10.13899531794457</v>
      </c>
      <c r="N6" s="26">
        <f>IF($C$7="Outdoor",500,50)</f>
        <v>500</v>
      </c>
      <c r="O6" s="26">
        <f>IF($C$7="Outdoor",50,25)</f>
        <v>50</v>
      </c>
      <c r="P6" s="27">
        <f t="shared" si="4"/>
        <v>2.0277990635889139E-2</v>
      </c>
      <c r="Q6" s="27">
        <f t="shared" si="4"/>
        <v>0.2027799063588914</v>
      </c>
      <c r="R6" s="28">
        <f t="shared" si="5"/>
        <v>528.56782324596327</v>
      </c>
      <c r="S6" s="28">
        <f t="shared" si="5"/>
        <v>528.56782324596327</v>
      </c>
    </row>
    <row r="7" spans="1:19">
      <c r="B7" s="30" t="s">
        <v>28</v>
      </c>
      <c r="C7" s="31" t="s">
        <v>29</v>
      </c>
      <c r="F7" s="19" t="s">
        <v>30</v>
      </c>
      <c r="G7" s="20" t="s">
        <v>27</v>
      </c>
      <c r="H7" s="21">
        <v>0.12</v>
      </c>
      <c r="I7" s="22">
        <v>30.07</v>
      </c>
      <c r="J7" s="23">
        <f t="shared" si="0"/>
        <v>3.6084000000000001</v>
      </c>
      <c r="K7" s="24">
        <f t="shared" si="2"/>
        <v>0.15845079699644316</v>
      </c>
      <c r="L7" s="25">
        <f t="shared" si="3"/>
        <v>3.0411929098313539</v>
      </c>
      <c r="M7" s="25">
        <f t="shared" si="1"/>
        <v>3.0411929098313539</v>
      </c>
      <c r="N7" s="26">
        <f>IF($C$7="Outdoor",500,50)</f>
        <v>500</v>
      </c>
      <c r="O7" s="26">
        <f>IF($C$7="Outdoor",50,25)</f>
        <v>50</v>
      </c>
      <c r="P7" s="27">
        <f>IFERROR($M7/N7,"-")</f>
        <v>6.0823858196627075E-3</v>
      </c>
      <c r="Q7" s="27">
        <f>IFERROR($M7/O7,"-")</f>
        <v>6.0823858196627077E-2</v>
      </c>
      <c r="R7" s="28">
        <f t="shared" si="5"/>
        <v>84.57085171935411</v>
      </c>
      <c r="S7" s="28">
        <f t="shared" si="5"/>
        <v>84.57085171935411</v>
      </c>
    </row>
    <row r="8" spans="1:19">
      <c r="B8" s="17" t="s">
        <v>31</v>
      </c>
      <c r="C8" s="32">
        <f>VolumeCalcs!U3</f>
        <v>0.70475709766128436</v>
      </c>
      <c r="D8" s="31" t="s">
        <v>32</v>
      </c>
      <c r="F8" s="19" t="s">
        <v>33</v>
      </c>
      <c r="G8" s="20" t="s">
        <v>27</v>
      </c>
      <c r="H8" s="21">
        <v>7.0000000000000007E-2</v>
      </c>
      <c r="I8" s="22">
        <v>44.09</v>
      </c>
      <c r="J8" s="23">
        <f t="shared" si="0"/>
        <v>3.0863000000000005</v>
      </c>
      <c r="K8" s="24">
        <f t="shared" si="2"/>
        <v>0.13552452465639137</v>
      </c>
      <c r="L8" s="25">
        <f t="shared" si="3"/>
        <v>2.6011621986510667</v>
      </c>
      <c r="M8" s="25">
        <f t="shared" si="1"/>
        <v>2.6011621986510667</v>
      </c>
      <c r="N8" s="26">
        <f>IF($C$7="Outdoor",500,50)</f>
        <v>500</v>
      </c>
      <c r="O8" s="26">
        <f>IF($C$7="Outdoor",50,25)</f>
        <v>50</v>
      </c>
      <c r="P8" s="27">
        <f t="shared" si="4"/>
        <v>5.2023243973021334E-3</v>
      </c>
      <c r="Q8" s="27">
        <f t="shared" si="4"/>
        <v>5.2023243973021334E-2</v>
      </c>
      <c r="R8" s="28">
        <f t="shared" si="5"/>
        <v>49.332996836289908</v>
      </c>
      <c r="S8" s="28">
        <f t="shared" si="5"/>
        <v>49.332996836289908</v>
      </c>
    </row>
    <row r="9" spans="1:19">
      <c r="B9" s="17" t="s">
        <v>34</v>
      </c>
      <c r="C9" s="33">
        <v>52</v>
      </c>
      <c r="F9" s="19" t="s">
        <v>35</v>
      </c>
      <c r="G9" s="20" t="s">
        <v>27</v>
      </c>
      <c r="H9" s="21">
        <v>0.03</v>
      </c>
      <c r="I9" s="22">
        <v>58.12</v>
      </c>
      <c r="J9" s="23">
        <f t="shared" si="0"/>
        <v>1.7435999999999998</v>
      </c>
      <c r="K9" s="24">
        <f t="shared" si="2"/>
        <v>7.6564352522724269E-2</v>
      </c>
      <c r="L9" s="25">
        <f t="shared" si="3"/>
        <v>1.4695222141619411</v>
      </c>
      <c r="M9" s="25">
        <f t="shared" si="1"/>
        <v>1.4695222141619411</v>
      </c>
      <c r="N9" s="26">
        <f>IF($C$7="Outdoor",500,50)</f>
        <v>500</v>
      </c>
      <c r="O9" s="26">
        <f>IF($C$7="Outdoor",50,25)</f>
        <v>50</v>
      </c>
      <c r="P9" s="27">
        <f t="shared" si="4"/>
        <v>2.939044428323882E-3</v>
      </c>
      <c r="Q9" s="27">
        <f t="shared" si="4"/>
        <v>2.9390444283238823E-2</v>
      </c>
      <c r="R9" s="28">
        <f t="shared" si="5"/>
        <v>21.142712929838527</v>
      </c>
      <c r="S9" s="28">
        <f t="shared" si="5"/>
        <v>21.142712929838527</v>
      </c>
    </row>
    <row r="10" spans="1:19">
      <c r="B10" s="17" t="s">
        <v>36</v>
      </c>
      <c r="C10" s="34">
        <v>0</v>
      </c>
      <c r="F10" s="19" t="s">
        <v>37</v>
      </c>
      <c r="G10" s="20" t="s">
        <v>27</v>
      </c>
      <c r="H10" s="21">
        <v>0.02</v>
      </c>
      <c r="I10" s="22">
        <v>72.150000000000006</v>
      </c>
      <c r="J10" s="23">
        <f t="shared" si="0"/>
        <v>1.4430000000000001</v>
      </c>
      <c r="K10" s="24">
        <f t="shared" si="2"/>
        <v>6.3364510604663415E-2</v>
      </c>
      <c r="L10" s="25">
        <f t="shared" si="3"/>
        <v>1.2161737526013312</v>
      </c>
      <c r="M10" s="25">
        <f t="shared" si="1"/>
        <v>1.2161737526013312</v>
      </c>
      <c r="N10" s="26">
        <f>IF($C$7="Outdoor",500,50)</f>
        <v>500</v>
      </c>
      <c r="O10" s="26">
        <f>IF($C$7="Outdoor",50,25)</f>
        <v>50</v>
      </c>
      <c r="P10" s="27">
        <f t="shared" si="4"/>
        <v>2.4323475052026623E-3</v>
      </c>
      <c r="Q10" s="27">
        <f t="shared" si="4"/>
        <v>2.4323475052026623E-2</v>
      </c>
      <c r="R10" s="28">
        <f t="shared" si="5"/>
        <v>14.095141953225685</v>
      </c>
      <c r="S10" s="28">
        <f t="shared" si="5"/>
        <v>14.095141953225685</v>
      </c>
    </row>
    <row r="11" spans="1:19">
      <c r="F11" s="19" t="s">
        <v>38</v>
      </c>
      <c r="G11" s="20" t="s">
        <v>27</v>
      </c>
      <c r="H11" s="21">
        <v>0.01</v>
      </c>
      <c r="I11" s="22">
        <v>86.17</v>
      </c>
      <c r="J11" s="23">
        <f t="shared" si="0"/>
        <v>0.86170000000000002</v>
      </c>
      <c r="K11" s="24">
        <f t="shared" si="2"/>
        <v>3.7838668598779254E-2</v>
      </c>
      <c r="L11" s="25">
        <f t="shared" si="3"/>
        <v>0.72624873362201459</v>
      </c>
      <c r="M11" s="25">
        <f t="shared" si="1"/>
        <v>0.72624873362201459</v>
      </c>
      <c r="N11" s="26">
        <f>IF($C$7="Outdoor",1000,100)</f>
        <v>1000</v>
      </c>
      <c r="O11" s="26">
        <f>IF($C$7="Outdoor",100,50)</f>
        <v>100</v>
      </c>
      <c r="P11" s="27">
        <f t="shared" si="4"/>
        <v>7.2624873362201457E-4</v>
      </c>
      <c r="Q11" s="27">
        <f t="shared" si="4"/>
        <v>7.2624873362201461E-3</v>
      </c>
      <c r="R11" s="28">
        <f t="shared" si="5"/>
        <v>7.0475709766128416</v>
      </c>
      <c r="S11" s="28">
        <f t="shared" si="5"/>
        <v>7.0475709766128416</v>
      </c>
    </row>
    <row r="12" spans="1:19">
      <c r="B12" s="17" t="s">
        <v>39</v>
      </c>
      <c r="C12" s="35">
        <f>IF(C9&lt;=60,C16,C16/C9*60)</f>
        <v>19.193295126812277</v>
      </c>
      <c r="D12" t="s">
        <v>40</v>
      </c>
      <c r="F12" s="19" t="s">
        <v>41</v>
      </c>
      <c r="G12" s="20" t="s">
        <v>27</v>
      </c>
      <c r="H12" s="21">
        <v>0</v>
      </c>
      <c r="I12" s="22">
        <v>100.2</v>
      </c>
      <c r="J12" s="23">
        <f t="shared" si="0"/>
        <v>0</v>
      </c>
      <c r="K12" s="24">
        <f t="shared" si="2"/>
        <v>0</v>
      </c>
      <c r="L12" s="25">
        <f t="shared" si="3"/>
        <v>0</v>
      </c>
      <c r="M12" s="25">
        <f t="shared" si="1"/>
        <v>0</v>
      </c>
      <c r="N12" s="26">
        <f>IF($C$7="Outdoor",1000,100)</f>
        <v>1000</v>
      </c>
      <c r="O12" s="26">
        <f>IF($C$7="Outdoor",100,50)</f>
        <v>100</v>
      </c>
      <c r="P12" s="27">
        <f t="shared" si="4"/>
        <v>0</v>
      </c>
      <c r="Q12" s="27">
        <f t="shared" si="4"/>
        <v>0</v>
      </c>
      <c r="R12" s="28">
        <f t="shared" si="5"/>
        <v>0</v>
      </c>
      <c r="S12" s="28">
        <f t="shared" si="5"/>
        <v>0</v>
      </c>
    </row>
    <row r="13" spans="1:19">
      <c r="B13" s="17" t="s">
        <v>42</v>
      </c>
      <c r="C13" s="36">
        <f>C12</f>
        <v>19.193295126812277</v>
      </c>
      <c r="F13" s="19" t="s">
        <v>43</v>
      </c>
      <c r="G13" s="20" t="s">
        <v>27</v>
      </c>
      <c r="H13" s="21">
        <v>0</v>
      </c>
      <c r="I13" s="22">
        <v>114.22</v>
      </c>
      <c r="J13" s="23">
        <f t="shared" si="0"/>
        <v>0</v>
      </c>
      <c r="K13" s="24">
        <f t="shared" si="2"/>
        <v>0</v>
      </c>
      <c r="L13" s="25">
        <f t="shared" si="3"/>
        <v>0</v>
      </c>
      <c r="M13" s="25">
        <f t="shared" si="1"/>
        <v>0</v>
      </c>
      <c r="N13" s="26">
        <f>IF($C$7="Outdoor",1000,100)</f>
        <v>1000</v>
      </c>
      <c r="O13" s="26">
        <f>IF($C$7="Outdoor",100,50)</f>
        <v>100</v>
      </c>
      <c r="P13" s="27">
        <f t="shared" si="4"/>
        <v>0</v>
      </c>
      <c r="Q13" s="27">
        <f t="shared" si="4"/>
        <v>0</v>
      </c>
      <c r="R13" s="28">
        <f t="shared" si="5"/>
        <v>0</v>
      </c>
      <c r="S13" s="28">
        <f t="shared" si="5"/>
        <v>0</v>
      </c>
    </row>
    <row r="14" spans="1:19">
      <c r="F14" s="37" t="s">
        <v>44</v>
      </c>
      <c r="G14" s="37"/>
      <c r="H14" s="38">
        <f>SUM(H3:H13)</f>
        <v>1</v>
      </c>
      <c r="I14" s="37"/>
      <c r="J14" s="39">
        <f>SUM(J3:J13)</f>
        <v>22.773</v>
      </c>
      <c r="K14" s="38">
        <f>SUM(K3:K13)</f>
        <v>1</v>
      </c>
      <c r="L14" s="40">
        <f>SUM(L3:L13)</f>
        <v>19.193295126812277</v>
      </c>
      <c r="M14" s="40">
        <f>SUM(M3:M13)</f>
        <v>19.193295126812277</v>
      </c>
      <c r="N14" s="37"/>
      <c r="O14" s="37"/>
      <c r="P14" s="41">
        <f>SUM(P3:P13)</f>
        <v>3.7660341520002548E-2</v>
      </c>
      <c r="Q14" s="41">
        <f>SUM(Q3:Q13)</f>
        <v>0.37660341520002544</v>
      </c>
      <c r="R14" s="42">
        <f>SUM(R3:R13)</f>
        <v>704.75709766128443</v>
      </c>
      <c r="S14" s="42">
        <f>SUM(S3:S13)</f>
        <v>704.75709766128443</v>
      </c>
    </row>
    <row r="15" spans="1:19" ht="14.5" customHeight="1">
      <c r="A15" s="61" t="s">
        <v>45</v>
      </c>
      <c r="B15" s="17" t="s">
        <v>46</v>
      </c>
      <c r="C15" s="43">
        <f>IF(D8="MCF",C8,C8*836.2/J14/1000)</f>
        <v>0.70475709766128436</v>
      </c>
      <c r="D15" t="s">
        <v>47</v>
      </c>
      <c r="F15" s="44"/>
      <c r="G15" s="44"/>
      <c r="H15" s="44"/>
      <c r="I15" s="44"/>
      <c r="J15" s="44"/>
      <c r="N15" s="44"/>
      <c r="R15" s="44"/>
      <c r="S15" s="44"/>
    </row>
    <row r="16" spans="1:19" ht="14.5" customHeight="1">
      <c r="A16" s="62"/>
      <c r="B16" s="17" t="s">
        <v>48</v>
      </c>
      <c r="C16" s="45">
        <f>IF(D8="kg",C8,C8*1000/836.2*J14)</f>
        <v>19.193295126812277</v>
      </c>
      <c r="F16" s="44"/>
      <c r="G16" s="44"/>
      <c r="H16" s="44" t="s">
        <v>49</v>
      </c>
      <c r="I16" s="44" t="s">
        <v>50</v>
      </c>
      <c r="J16" s="44"/>
      <c r="N16" s="44"/>
      <c r="R16" s="44"/>
      <c r="S16" s="44"/>
    </row>
    <row r="17" spans="1:19">
      <c r="A17" s="62"/>
      <c r="B17" s="17" t="s">
        <v>51</v>
      </c>
      <c r="C17" s="43">
        <f>C15*(1-$C$10)</f>
        <v>0.70475709766128436</v>
      </c>
      <c r="F17" s="46" t="s">
        <v>52</v>
      </c>
      <c r="G17" s="44"/>
      <c r="H17" t="s">
        <v>53</v>
      </c>
      <c r="I17" s="44"/>
      <c r="J17" s="44"/>
      <c r="N17" s="44"/>
      <c r="R17" s="44"/>
      <c r="S17" s="44"/>
    </row>
    <row r="18" spans="1:19">
      <c r="A18" s="62"/>
      <c r="B18" s="17" t="s">
        <v>54</v>
      </c>
      <c r="C18" s="45">
        <f>(C17/836.2)*J14*1000</f>
        <v>19.193295126812277</v>
      </c>
      <c r="F18" s="47" t="s">
        <v>55</v>
      </c>
      <c r="G18" s="44"/>
      <c r="H18" s="44"/>
      <c r="I18" s="44"/>
      <c r="J18" s="44"/>
      <c r="N18" s="44"/>
      <c r="O18" s="44"/>
      <c r="P18" s="48"/>
      <c r="Q18" s="44"/>
      <c r="R18" s="44"/>
      <c r="S18" s="49"/>
    </row>
    <row r="19" spans="1:19" ht="14.5" customHeight="1">
      <c r="F19" s="50" t="s">
        <v>56</v>
      </c>
      <c r="G19" s="44"/>
      <c r="H19" s="44"/>
      <c r="I19" s="44"/>
      <c r="J19" s="44"/>
      <c r="N19" s="44"/>
      <c r="R19" s="44"/>
      <c r="S19" s="49"/>
    </row>
    <row r="20" spans="1:19" ht="14.5" customHeight="1">
      <c r="A20" s="61" t="s">
        <v>57</v>
      </c>
      <c r="B20" s="17" t="s">
        <v>58</v>
      </c>
      <c r="C20" s="43">
        <f>M14*836.2/J14/1000</f>
        <v>0.70475709766128436</v>
      </c>
      <c r="F20" s="51" t="s">
        <v>59</v>
      </c>
      <c r="G20" s="44"/>
      <c r="I20" s="44"/>
      <c r="J20" s="44"/>
      <c r="N20" s="44"/>
      <c r="R20" s="44"/>
      <c r="S20" s="49"/>
    </row>
    <row r="21" spans="1:19" ht="15.65" customHeight="1">
      <c r="A21" s="62"/>
      <c r="B21" s="17" t="s">
        <v>60</v>
      </c>
      <c r="C21" s="45">
        <f>C20*1000/836.2*J14</f>
        <v>19.193295126812277</v>
      </c>
      <c r="F21" s="44"/>
      <c r="G21" s="44"/>
      <c r="H21" s="44"/>
      <c r="I21" s="44"/>
      <c r="J21" s="44"/>
      <c r="N21" s="44"/>
      <c r="R21" s="44"/>
      <c r="S21" s="49"/>
    </row>
    <row r="22" spans="1:19">
      <c r="A22" s="62"/>
      <c r="B22" s="17" t="s">
        <v>51</v>
      </c>
      <c r="C22" s="43">
        <f>C20*(1-$C$10)</f>
        <v>0.70475709766128436</v>
      </c>
      <c r="F22" s="44"/>
      <c r="G22" s="44"/>
      <c r="H22" s="44"/>
      <c r="I22" s="44"/>
      <c r="J22" s="44"/>
      <c r="N22" s="44"/>
      <c r="R22" s="44"/>
      <c r="S22" s="49"/>
    </row>
    <row r="23" spans="1:19">
      <c r="A23" s="62"/>
      <c r="B23" s="17" t="s">
        <v>54</v>
      </c>
      <c r="C23" s="45">
        <f>(C22/836.2)*J14*1000</f>
        <v>19.193295126812277</v>
      </c>
      <c r="F23" s="44"/>
      <c r="G23" s="44"/>
      <c r="H23" s="44"/>
      <c r="I23" s="44"/>
      <c r="J23" s="44"/>
      <c r="N23" s="44"/>
      <c r="R23" s="44"/>
      <c r="S23" s="49"/>
    </row>
    <row r="24" spans="1:19">
      <c r="F24" s="44"/>
      <c r="G24" s="44"/>
      <c r="H24" s="44"/>
      <c r="I24" s="44"/>
      <c r="J24" s="44"/>
      <c r="N24" s="44"/>
      <c r="R24" s="44"/>
      <c r="S24" s="49"/>
    </row>
    <row r="25" spans="1:19">
      <c r="A25" s="15" t="s">
        <v>61</v>
      </c>
      <c r="B25" s="52" t="s">
        <v>62</v>
      </c>
      <c r="C25" s="52" t="s">
        <v>63</v>
      </c>
      <c r="F25" s="44"/>
      <c r="G25" s="44"/>
      <c r="H25" s="44"/>
      <c r="I25" s="44"/>
      <c r="J25" s="44"/>
      <c r="N25" s="44"/>
      <c r="R25" s="44"/>
      <c r="S25" s="49"/>
    </row>
    <row r="26" spans="1:19">
      <c r="A26" s="53" t="s">
        <v>21</v>
      </c>
      <c r="B26" s="54">
        <f>SUMIF($G$3:$G$13,$A26,$P$3:$P$13)</f>
        <v>0</v>
      </c>
      <c r="C26" s="54">
        <f>SUMIF($G$3:$G$13,$A26,$Q$3:$Q$13)</f>
        <v>0</v>
      </c>
      <c r="F26" s="44"/>
      <c r="G26" s="44"/>
      <c r="H26" s="44"/>
      <c r="I26" s="44"/>
      <c r="J26" s="44"/>
      <c r="K26" s="44"/>
      <c r="O26" s="44"/>
      <c r="P26" s="48"/>
      <c r="Q26" s="44"/>
      <c r="R26" s="44"/>
      <c r="S26" s="49"/>
    </row>
    <row r="27" spans="1:19">
      <c r="A27" s="55" t="s">
        <v>27</v>
      </c>
      <c r="B27" s="54">
        <f>SUMIF($G$3:$G$13,$A27,$P$3:$P$13)</f>
        <v>3.7660341520002548E-2</v>
      </c>
      <c r="C27" s="54">
        <f>SUMIF($G$3:$G$13,$A27,$Q$3:$Q$13)</f>
        <v>0.37660341520002544</v>
      </c>
      <c r="F27" s="44"/>
      <c r="G27" s="44"/>
      <c r="H27" s="44"/>
      <c r="I27" s="44"/>
      <c r="J27" s="44"/>
      <c r="K27" s="44"/>
      <c r="O27" s="44"/>
      <c r="P27" s="48"/>
      <c r="Q27" s="44"/>
      <c r="R27" s="44"/>
      <c r="S27" s="49"/>
    </row>
    <row r="28" spans="1:19">
      <c r="A28" s="55" t="s">
        <v>18</v>
      </c>
      <c r="B28" s="54">
        <f>SUMIF($G$3:$G$13,$A28,$P$3:$P$13)</f>
        <v>0</v>
      </c>
      <c r="C28" s="54">
        <f>SUMIF($G$3:$G$13,$A28,$Q$3:$Q$13)</f>
        <v>0</v>
      </c>
      <c r="F28" s="44"/>
      <c r="G28" s="44"/>
      <c r="H28" s="44"/>
      <c r="I28" s="44"/>
      <c r="J28" s="44"/>
      <c r="K28" s="44"/>
      <c r="O28" s="44"/>
      <c r="P28" s="48"/>
      <c r="Q28" s="44"/>
      <c r="R28" s="44"/>
      <c r="S28" s="49"/>
    </row>
    <row r="29" spans="1:19">
      <c r="F29" s="44"/>
      <c r="G29" s="44"/>
      <c r="H29" s="44"/>
      <c r="I29" s="44"/>
      <c r="J29" s="44"/>
      <c r="K29" s="44"/>
      <c r="L29" s="44"/>
      <c r="M29" s="56"/>
      <c r="N29" s="44"/>
      <c r="O29" s="44"/>
      <c r="P29" s="48"/>
      <c r="Q29" s="44"/>
      <c r="R29" s="44"/>
      <c r="S29" s="49"/>
    </row>
    <row r="30" spans="1:19">
      <c r="F30" s="44"/>
      <c r="G30" s="44"/>
      <c r="H30" s="44"/>
      <c r="I30" s="44"/>
      <c r="J30" s="44"/>
      <c r="K30" s="44"/>
      <c r="L30" s="44"/>
      <c r="M30" s="56"/>
      <c r="N30" s="44"/>
      <c r="O30" s="44"/>
      <c r="P30" s="48"/>
      <c r="Q30" s="44"/>
      <c r="R30" s="44"/>
      <c r="S30" s="49"/>
    </row>
    <row r="31" spans="1:19">
      <c r="F31" s="44"/>
      <c r="G31" s="44"/>
      <c r="H31" s="44"/>
      <c r="I31" s="44"/>
      <c r="J31" s="44"/>
      <c r="K31" s="44"/>
      <c r="L31" s="44"/>
      <c r="M31" s="56"/>
      <c r="N31" s="44"/>
      <c r="O31" s="44"/>
      <c r="P31" s="48"/>
      <c r="Q31" s="44"/>
      <c r="R31" s="44"/>
      <c r="S31" s="49"/>
    </row>
    <row r="32" spans="1:19">
      <c r="F32" s="44"/>
      <c r="G32" s="44"/>
      <c r="H32" s="44"/>
      <c r="I32" s="44"/>
      <c r="J32" s="44"/>
      <c r="K32" s="44"/>
      <c r="L32" s="44"/>
      <c r="M32" s="57"/>
      <c r="N32" s="44"/>
      <c r="O32" s="44"/>
      <c r="P32" s="48"/>
      <c r="Q32" s="44"/>
      <c r="R32" s="44"/>
      <c r="S32" s="49"/>
    </row>
    <row r="33" spans="6:19">
      <c r="F33" s="44"/>
      <c r="G33" s="44"/>
      <c r="H33" s="44" t="s">
        <v>64</v>
      </c>
      <c r="I33" s="44"/>
      <c r="J33" s="44"/>
      <c r="K33" s="44"/>
      <c r="L33" s="44"/>
      <c r="M33" s="57"/>
      <c r="N33" s="44"/>
      <c r="O33" s="44"/>
      <c r="P33" s="48"/>
      <c r="Q33" s="44"/>
      <c r="R33" s="44"/>
      <c r="S33" s="49"/>
    </row>
    <row r="34" spans="6:19">
      <c r="F34" s="44"/>
      <c r="H34" s="58" t="s">
        <v>65</v>
      </c>
      <c r="I34" s="44"/>
      <c r="J34" s="44"/>
      <c r="L34" s="44"/>
      <c r="O34" s="44"/>
      <c r="P34" s="48"/>
      <c r="Q34" s="44"/>
      <c r="R34" s="44"/>
      <c r="S34" s="49"/>
    </row>
    <row r="35" spans="6:19">
      <c r="F35" s="44"/>
      <c r="G35" s="44"/>
      <c r="H35" s="44"/>
      <c r="I35" s="44"/>
      <c r="J35" s="44"/>
      <c r="L35" s="44"/>
      <c r="O35" s="44"/>
      <c r="P35" s="48"/>
      <c r="Q35" s="44"/>
      <c r="R35" s="44"/>
      <c r="S35" s="49"/>
    </row>
    <row r="36" spans="6:19">
      <c r="L36" s="44"/>
      <c r="O36" s="44"/>
      <c r="P36" s="48"/>
      <c r="Q36" s="44"/>
      <c r="R36" s="44"/>
      <c r="S36" s="49"/>
    </row>
    <row r="37" spans="6:19">
      <c r="L37" s="44"/>
      <c r="O37" s="44"/>
      <c r="P37" s="48"/>
      <c r="Q37" s="44"/>
      <c r="R37" s="44"/>
      <c r="S37" s="49"/>
    </row>
    <row r="38" spans="6:19">
      <c r="L38" s="44"/>
      <c r="O38" s="44"/>
      <c r="P38" s="48"/>
      <c r="Q38" s="44"/>
      <c r="R38" s="44"/>
      <c r="S38" s="49"/>
    </row>
    <row r="39" spans="6:19">
      <c r="L39" s="44"/>
    </row>
  </sheetData>
  <mergeCells count="3">
    <mergeCell ref="B2:C2"/>
    <mergeCell ref="A15:A18"/>
    <mergeCell ref="A20:A23"/>
  </mergeCells>
  <conditionalFormatting sqref="B26:C28">
    <cfRule type="cellIs" dxfId="9" priority="2" operator="greaterThan">
      <formula>1</formula>
    </cfRule>
  </conditionalFormatting>
  <conditionalFormatting sqref="H14">
    <cfRule type="cellIs" dxfId="8" priority="1" operator="greaterThan">
      <formula>1</formula>
    </cfRule>
  </conditionalFormatting>
  <dataValidations count="2">
    <dataValidation type="list" allowBlank="1" showInputMessage="1" showErrorMessage="1" sqref="D8" xr:uid="{5F5AE3A5-75E7-4E53-B358-D72BD79D1ADE}">
      <formula1>"MCF, kg"</formula1>
    </dataValidation>
    <dataValidation type="list" allowBlank="1" showInputMessage="1" showErrorMessage="1" sqref="C7" xr:uid="{86020AE9-D9C2-49A8-AF58-214B5B3FA3A0}">
      <formula1>"Indoor, Outdoor"</formula1>
    </dataValidation>
  </dataValidations>
  <hyperlinks>
    <hyperlink ref="H34" r:id="rId1" xr:uid="{40946553-07A9-41C0-81A4-4F4086CBD4F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9D60-617C-4E6E-AF42-A6F39300C4D0}">
  <dimension ref="B2:Y21"/>
  <sheetViews>
    <sheetView zoomScaleNormal="100" workbookViewId="0">
      <selection activeCell="F4" sqref="F4"/>
    </sheetView>
  </sheetViews>
  <sheetFormatPr defaultRowHeight="14.5"/>
  <cols>
    <col min="2" max="2" width="13.453125" customWidth="1"/>
    <col min="6" max="6" width="9.1796875" customWidth="1"/>
    <col min="7" max="10" width="9.1796875" hidden="1" customWidth="1"/>
    <col min="11" max="13" width="10.7265625" customWidth="1"/>
    <col min="15" max="16" width="0" hidden="1" customWidth="1"/>
    <col min="18" max="19" width="0" hidden="1" customWidth="1"/>
    <col min="21" max="21" width="14" bestFit="1" customWidth="1"/>
  </cols>
  <sheetData>
    <row r="2" spans="2:25" ht="16.5"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2" t="s">
        <v>76</v>
      </c>
      <c r="M2" s="2" t="s">
        <v>77</v>
      </c>
      <c r="N2" s="2" t="s">
        <v>78</v>
      </c>
      <c r="O2" s="2" t="s">
        <v>79</v>
      </c>
      <c r="P2" s="2" t="s">
        <v>80</v>
      </c>
      <c r="Q2" s="2" t="s">
        <v>81</v>
      </c>
      <c r="R2" s="2" t="s">
        <v>79</v>
      </c>
      <c r="S2" s="2" t="s">
        <v>80</v>
      </c>
      <c r="T2" s="2" t="s">
        <v>82</v>
      </c>
      <c r="U2" s="2" t="s">
        <v>83</v>
      </c>
      <c r="X2" s="3" t="s">
        <v>84</v>
      </c>
    </row>
    <row r="3" spans="2:25">
      <c r="B3" s="14" t="s">
        <v>85</v>
      </c>
      <c r="C3" s="5">
        <v>0</v>
      </c>
      <c r="D3" s="5">
        <v>6</v>
      </c>
      <c r="E3" s="5">
        <v>0</v>
      </c>
      <c r="F3" s="5">
        <v>1000</v>
      </c>
      <c r="G3" s="1">
        <f>ACOS(1-E3*2/D3)</f>
        <v>0</v>
      </c>
      <c r="H3" s="1">
        <f>F3*(D3/2/12)^2*(G3-SIN(2*G3)/2)</f>
        <v>0</v>
      </c>
      <c r="I3" s="1">
        <f>PI()/6*E3^2*(3*D3/2-E3)/12^3</f>
        <v>0</v>
      </c>
      <c r="J3" s="1">
        <f>PI()/4*(D3/12)^2*(F3+D3/3/12)</f>
        <v>196.38226577283694</v>
      </c>
      <c r="K3" s="13">
        <f>IF(B3="Sep. Vessel",J3-(H3+I3),IF(B3="Pipe",PI()/4*D3^2/144*F3,PI()/4*(D3^2-C3^2)/144*F3))</f>
        <v>196.34954084936206</v>
      </c>
      <c r="L3" s="5">
        <v>60</v>
      </c>
      <c r="M3" s="5">
        <v>5</v>
      </c>
      <c r="N3" s="5">
        <v>90</v>
      </c>
      <c r="O3" s="1">
        <f>1-(0.5-N3/500)*L3/1500</f>
        <v>0.98719999999999997</v>
      </c>
      <c r="P3" s="1">
        <f>(0.2+N3/500)+(0.85-N3/500)*L3/6000</f>
        <v>0.38669999999999999</v>
      </c>
      <c r="Q3" s="1">
        <f>MAX(O3,P3)</f>
        <v>0.98719999999999997</v>
      </c>
      <c r="R3" s="1">
        <f>1-(0.5-N3/500)*M3/1500</f>
        <v>0.99893333333333334</v>
      </c>
      <c r="S3" s="1">
        <f>(0.2+N3/500)+(0.85-N3/500)*M3/6000</f>
        <v>0.38055833333333333</v>
      </c>
      <c r="T3" s="1">
        <f>MAX(R3,S3)</f>
        <v>0.99893333333333334</v>
      </c>
      <c r="U3" s="4">
        <f>((L3+14.7)/Q3-(M3+14.7)/T3)*K3/(10.731*(N3+460))/2.641</f>
        <v>0.70475709766128436</v>
      </c>
      <c r="X3" s="5"/>
      <c r="Y3" t="s">
        <v>86</v>
      </c>
    </row>
    <row r="4" spans="2:25">
      <c r="B4" t="s">
        <v>87</v>
      </c>
      <c r="X4" s="12"/>
      <c r="Y4" t="s">
        <v>88</v>
      </c>
    </row>
    <row r="5" spans="2:25">
      <c r="X5" s="1"/>
      <c r="Y5" t="s">
        <v>56</v>
      </c>
    </row>
    <row r="6" spans="2:25">
      <c r="X6" s="4"/>
      <c r="Y6" t="s">
        <v>89</v>
      </c>
    </row>
    <row r="7" spans="2:25" ht="15.5">
      <c r="X7" s="3" t="s">
        <v>90</v>
      </c>
      <c r="Y7" s="10"/>
    </row>
    <row r="8" spans="2:25" ht="15.5">
      <c r="X8" t="s">
        <v>91</v>
      </c>
      <c r="Y8" s="7"/>
    </row>
    <row r="9" spans="2:25" ht="15.5">
      <c r="X9" t="s">
        <v>92</v>
      </c>
      <c r="Y9" s="7"/>
    </row>
    <row r="11" spans="2:25">
      <c r="X11" s="3" t="s">
        <v>93</v>
      </c>
    </row>
    <row r="12" spans="2:25" ht="15.5">
      <c r="X12" t="s">
        <v>94</v>
      </c>
      <c r="Y12" s="7"/>
    </row>
    <row r="13" spans="2:25">
      <c r="X13" t="s">
        <v>95</v>
      </c>
      <c r="Y13" s="11"/>
    </row>
    <row r="14" spans="2:25">
      <c r="Y14" s="8"/>
    </row>
    <row r="15" spans="2:25">
      <c r="X15" s="3" t="s">
        <v>96</v>
      </c>
      <c r="Y15" s="8"/>
    </row>
    <row r="16" spans="2:25">
      <c r="X16" t="s">
        <v>97</v>
      </c>
      <c r="Y16" s="8"/>
    </row>
    <row r="17" spans="4:25">
      <c r="X17" t="s">
        <v>98</v>
      </c>
      <c r="Y17" s="8"/>
    </row>
    <row r="18" spans="4:25">
      <c r="X18" t="s">
        <v>99</v>
      </c>
      <c r="Y18" s="9"/>
    </row>
    <row r="19" spans="4:25">
      <c r="X19" t="s">
        <v>100</v>
      </c>
    </row>
    <row r="21" spans="4:25">
      <c r="D21" s="6"/>
      <c r="E21" s="6"/>
    </row>
  </sheetData>
  <conditionalFormatting sqref="C3">
    <cfRule type="expression" dxfId="7" priority="1">
      <formula>B3&lt;&gt;"Annulus"</formula>
    </cfRule>
    <cfRule type="expression" dxfId="6" priority="2">
      <formula>B3="Annulus"</formula>
    </cfRule>
  </conditionalFormatting>
  <conditionalFormatting sqref="E3">
    <cfRule type="expression" dxfId="5" priority="3">
      <formula>B3="Sep. Vessel"</formula>
    </cfRule>
    <cfRule type="expression" dxfId="4" priority="4">
      <formula>B3&lt;&gt;"Sep. Vessel"</formula>
    </cfRule>
  </conditionalFormatting>
  <dataValidations count="1">
    <dataValidation type="list" allowBlank="1" showInputMessage="1" showErrorMessage="1" sqref="B3" xr:uid="{668D5DF5-9A91-4B0F-9F4B-82F959C0AF01}">
      <formula1>"Sep. Vessel, Pipe, Annulus"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D76D-C586-44CB-9D09-2804E5386508}">
  <dimension ref="B2:AA27"/>
  <sheetViews>
    <sheetView tabSelected="1" zoomScale="62" zoomScaleNormal="100" workbookViewId="0">
      <selection activeCell="AF14" sqref="AF14"/>
    </sheetView>
  </sheetViews>
  <sheetFormatPr defaultRowHeight="14.5"/>
  <cols>
    <col min="2" max="2" width="13.453125" customWidth="1"/>
    <col min="6" max="6" width="9.1796875" customWidth="1"/>
    <col min="7" max="10" width="9.1796875" hidden="1" customWidth="1"/>
    <col min="11" max="13" width="10.7265625" customWidth="1"/>
    <col min="15" max="15" width="11.1796875" hidden="1" customWidth="1"/>
    <col min="16" max="16" width="15.54296875" hidden="1" customWidth="1"/>
    <col min="17" max="20" width="0" hidden="1" customWidth="1"/>
    <col min="21" max="21" width="13.7265625" bestFit="1" customWidth="1"/>
    <col min="22" max="22" width="11.7265625" bestFit="1" customWidth="1"/>
    <col min="23" max="23" width="14" bestFit="1" customWidth="1"/>
  </cols>
  <sheetData>
    <row r="2" spans="2:27" ht="16.5"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2" t="s">
        <v>76</v>
      </c>
      <c r="M2" s="2" t="s">
        <v>77</v>
      </c>
      <c r="N2" s="2" t="s">
        <v>78</v>
      </c>
      <c r="O2" s="2" t="s">
        <v>79</v>
      </c>
      <c r="P2" s="2" t="s">
        <v>80</v>
      </c>
      <c r="Q2" s="2" t="s">
        <v>81</v>
      </c>
      <c r="R2" s="2" t="s">
        <v>79</v>
      </c>
      <c r="S2" s="2" t="s">
        <v>80</v>
      </c>
      <c r="T2" s="2" t="s">
        <v>82</v>
      </c>
      <c r="U2" s="2" t="s">
        <v>101</v>
      </c>
      <c r="V2" s="2" t="s">
        <v>102</v>
      </c>
      <c r="W2" s="2" t="s">
        <v>83</v>
      </c>
      <c r="Z2" s="63"/>
      <c r="AA2" s="64"/>
    </row>
    <row r="3" spans="2:27">
      <c r="B3" s="14" t="s">
        <v>103</v>
      </c>
      <c r="C3" s="5">
        <v>0</v>
      </c>
      <c r="D3" s="5">
        <v>96</v>
      </c>
      <c r="E3" s="5">
        <v>0</v>
      </c>
      <c r="F3" s="5">
        <v>30</v>
      </c>
      <c r="G3" s="1">
        <f>ACOS(1-E3*2/D3)</f>
        <v>0</v>
      </c>
      <c r="H3" s="1">
        <f>F3*(D3/2/12)^2*(G3-SIN(2*G3)/2)</f>
        <v>0</v>
      </c>
      <c r="I3" s="1">
        <f>PI()/6*E3^2*(3*D3/2-E3)/12^3</f>
        <v>0</v>
      </c>
      <c r="J3" s="1">
        <f>PI()/4*(D3/12)^2*(F3+D3/3/12)</f>
        <v>1642.0057602762652</v>
      </c>
      <c r="K3" s="13">
        <f>IF(B3="Sep. Vessel",J3-(H3+I3),IF(B3="Pipe",PI()/4*D3^2/144*F3,PI()/4*(D3^2-C3^2)/144*F3))</f>
        <v>1642.0057602762652</v>
      </c>
      <c r="L3" s="5">
        <v>100</v>
      </c>
      <c r="M3" s="5">
        <v>5</v>
      </c>
      <c r="N3" s="5">
        <v>90</v>
      </c>
      <c r="O3" s="1">
        <f>1-(0.5-N3/500)*L3/1500</f>
        <v>0.97866666666666668</v>
      </c>
      <c r="P3" s="1">
        <f>(0.2+N3/500)+(0.85-N3/500)*L3/6000</f>
        <v>0.39116666666666666</v>
      </c>
      <c r="Q3" s="1">
        <f>MAX(O3,P3)</f>
        <v>0.97866666666666668</v>
      </c>
      <c r="R3" s="1">
        <f>1-(0.5-N3/500)*M3/1500</f>
        <v>0.99893333333333334</v>
      </c>
      <c r="S3" s="1">
        <f>(0.2+N3/500)+(0.85-N3/500)*M3/6000</f>
        <v>0.38055833333333333</v>
      </c>
      <c r="T3" s="1">
        <f>MAX(R3,S3)</f>
        <v>0.99893333333333334</v>
      </c>
      <c r="U3" s="59">
        <v>0.25</v>
      </c>
      <c r="V3" s="59">
        <v>31024</v>
      </c>
      <c r="W3" s="4">
        <f>((L3+14.7)/Q3-(M3+14.7)/T3)*K3/(10.731*(N3+460))/2.641</f>
        <v>10.268701051929584</v>
      </c>
      <c r="Z3" s="64"/>
      <c r="AA3" s="64"/>
    </row>
    <row r="4" spans="2:27">
      <c r="B4" s="14" t="s">
        <v>85</v>
      </c>
      <c r="C4" s="5">
        <v>0</v>
      </c>
      <c r="D4" s="5">
        <v>4</v>
      </c>
      <c r="E4" s="5">
        <v>9.6</v>
      </c>
      <c r="F4" s="5">
        <v>5280</v>
      </c>
      <c r="G4" s="1" t="e">
        <f t="shared" ref="G4:G5" si="0">ACOS(1-E4*2/D4)</f>
        <v>#NUM!</v>
      </c>
      <c r="H4" s="1" t="e">
        <f t="shared" ref="H4:H5" si="1">F4*(D4/2/12)^2*(G4-SIN(2*G4)/2)</f>
        <v>#NUM!</v>
      </c>
      <c r="I4" s="1">
        <f t="shared" ref="I4:I5" si="2">PI()/6*E4^2*(3*D4/2-E4)/12^3</f>
        <v>-0.10053096491487336</v>
      </c>
      <c r="J4" s="1">
        <f t="shared" ref="J4:J5" si="3">PI()/4*(D4/12)^2*(F4+D4/3/12)</f>
        <v>460.77661880012516</v>
      </c>
      <c r="K4" s="13">
        <f t="shared" ref="K4:K5" si="4">IF(B4="Sep. Vessel",J4-(H4+I4),IF(B4="Pipe",PI()/4*D4^2/144*F4,PI()/4*(D4^2-C4^2)/144*F4))</f>
        <v>460.76692252650298</v>
      </c>
      <c r="L4" s="5">
        <v>1100</v>
      </c>
      <c r="M4" s="5">
        <v>5</v>
      </c>
      <c r="N4" s="5">
        <v>90</v>
      </c>
      <c r="O4" s="1">
        <f t="shared" ref="O4:O5" si="5">1-(0.5-N4/500)*L4/1500</f>
        <v>0.76533333333333331</v>
      </c>
      <c r="P4" s="1">
        <f t="shared" ref="P4:P5" si="6">(0.2+N4/500)+(0.85-N4/500)*L4/6000</f>
        <v>0.50283333333333335</v>
      </c>
      <c r="Q4" s="1">
        <f t="shared" ref="Q4:Q5" si="7">MAX(O4,P4)</f>
        <v>0.76533333333333331</v>
      </c>
      <c r="R4" s="1">
        <f t="shared" ref="R4:R5" si="8">1-(0.5-N4/500)*M4/1500</f>
        <v>0.99893333333333334</v>
      </c>
      <c r="S4" s="1">
        <f t="shared" ref="S4:S5" si="9">(0.2+N4/500)+(0.85-N4/500)*M4/6000</f>
        <v>0.38055833333333333</v>
      </c>
      <c r="T4" s="1">
        <f t="shared" ref="T4:T5" si="10">MAX(R4,S4)</f>
        <v>0.99893333333333334</v>
      </c>
      <c r="U4" s="59">
        <v>0.3</v>
      </c>
      <c r="V4" s="59">
        <v>25128</v>
      </c>
      <c r="W4" s="4">
        <f t="shared" ref="W4:W5" si="11">((L4+14.7)/Q4-(M4+14.7)/T4)*K4/(10.731*(N4+460))/2.641</f>
        <v>42.471422799068201</v>
      </c>
      <c r="Z4" s="64"/>
      <c r="AA4" s="64"/>
    </row>
    <row r="5" spans="2:27">
      <c r="B5" s="14" t="s">
        <v>104</v>
      </c>
      <c r="C5" s="5">
        <v>3</v>
      </c>
      <c r="D5" s="5">
        <v>5</v>
      </c>
      <c r="E5" s="5">
        <v>9.6</v>
      </c>
      <c r="F5" s="5">
        <v>11200</v>
      </c>
      <c r="G5" s="1" t="e">
        <f t="shared" si="0"/>
        <v>#NUM!</v>
      </c>
      <c r="H5" s="1" t="e">
        <f t="shared" si="1"/>
        <v>#NUM!</v>
      </c>
      <c r="I5" s="1">
        <f t="shared" si="2"/>
        <v>-5.864306286700946E-2</v>
      </c>
      <c r="J5" s="1">
        <f t="shared" si="3"/>
        <v>1527.1820335294567</v>
      </c>
      <c r="K5" s="13">
        <f t="shared" si="4"/>
        <v>977.38438111682456</v>
      </c>
      <c r="L5" s="5">
        <v>3000</v>
      </c>
      <c r="M5" s="5">
        <v>50</v>
      </c>
      <c r="N5" s="5">
        <v>90</v>
      </c>
      <c r="O5" s="1">
        <f t="shared" si="5"/>
        <v>0.36</v>
      </c>
      <c r="P5" s="1">
        <f t="shared" si="6"/>
        <v>0.71499999999999997</v>
      </c>
      <c r="Q5" s="1">
        <f t="shared" si="7"/>
        <v>0.71499999999999997</v>
      </c>
      <c r="R5" s="1">
        <f t="shared" si="8"/>
        <v>0.98933333333333329</v>
      </c>
      <c r="S5" s="1">
        <f t="shared" si="9"/>
        <v>0.38558333333333333</v>
      </c>
      <c r="T5" s="1">
        <f t="shared" si="10"/>
        <v>0.98933333333333329</v>
      </c>
      <c r="U5" s="59">
        <v>0.25</v>
      </c>
      <c r="V5" s="59">
        <v>66054</v>
      </c>
      <c r="W5" s="4">
        <f t="shared" si="11"/>
        <v>260.28149447460697</v>
      </c>
      <c r="Z5" s="64"/>
      <c r="AA5" s="64"/>
    </row>
    <row r="6" spans="2:27">
      <c r="Z6" s="65"/>
      <c r="AA6" s="64"/>
    </row>
    <row r="7" spans="2:27" ht="15.5">
      <c r="Z7" s="63"/>
      <c r="AA7" s="66"/>
    </row>
    <row r="8" spans="2:27" ht="15.5">
      <c r="Z8" s="64"/>
      <c r="AA8" s="67"/>
    </row>
    <row r="9" spans="2:27" ht="15.5">
      <c r="Z9" s="64"/>
      <c r="AA9" s="67"/>
    </row>
    <row r="10" spans="2:27">
      <c r="U10" s="3" t="s">
        <v>84</v>
      </c>
    </row>
    <row r="11" spans="2:27">
      <c r="U11" s="5"/>
      <c r="V11" t="s">
        <v>86</v>
      </c>
    </row>
    <row r="12" spans="2:27">
      <c r="U12" s="12"/>
      <c r="V12" t="s">
        <v>88</v>
      </c>
    </row>
    <row r="13" spans="2:27">
      <c r="U13" s="1"/>
      <c r="V13" t="s">
        <v>56</v>
      </c>
    </row>
    <row r="14" spans="2:27">
      <c r="U14" s="4"/>
      <c r="V14" t="s">
        <v>89</v>
      </c>
    </row>
    <row r="15" spans="2:27" ht="15.5">
      <c r="U15" s="3" t="s">
        <v>90</v>
      </c>
      <c r="V15" s="10"/>
    </row>
    <row r="16" spans="2:27" ht="15.5">
      <c r="U16" t="s">
        <v>91</v>
      </c>
      <c r="V16" s="7"/>
    </row>
    <row r="17" spans="4:22" ht="15.5">
      <c r="U17" t="s">
        <v>92</v>
      </c>
      <c r="V17" s="7"/>
    </row>
    <row r="19" spans="4:22">
      <c r="U19" s="3" t="s">
        <v>93</v>
      </c>
    </row>
    <row r="20" spans="4:22" ht="15.5">
      <c r="U20" t="s">
        <v>94</v>
      </c>
      <c r="V20" s="7"/>
    </row>
    <row r="21" spans="4:22">
      <c r="D21" s="6"/>
      <c r="E21" s="6"/>
      <c r="U21" t="s">
        <v>95</v>
      </c>
      <c r="V21" s="11"/>
    </row>
    <row r="22" spans="4:22">
      <c r="V22" s="8"/>
    </row>
    <row r="23" spans="4:22">
      <c r="U23" s="3" t="s">
        <v>96</v>
      </c>
      <c r="V23" s="8"/>
    </row>
    <row r="24" spans="4:22">
      <c r="U24" t="s">
        <v>97</v>
      </c>
      <c r="V24" s="8"/>
    </row>
    <row r="25" spans="4:22">
      <c r="U25" t="s">
        <v>98</v>
      </c>
      <c r="V25" s="8"/>
    </row>
    <row r="26" spans="4:22">
      <c r="U26" t="s">
        <v>99</v>
      </c>
      <c r="V26" s="9"/>
    </row>
    <row r="27" spans="4:22">
      <c r="U27" t="s">
        <v>100</v>
      </c>
    </row>
  </sheetData>
  <conditionalFormatting sqref="C3:C5">
    <cfRule type="expression" dxfId="3" priority="1">
      <formula>B3&lt;&gt;"Annulus"</formula>
    </cfRule>
    <cfRule type="expression" dxfId="2" priority="2">
      <formula>B3="Annulus"</formula>
    </cfRule>
  </conditionalFormatting>
  <conditionalFormatting sqref="E3:E5">
    <cfRule type="expression" dxfId="1" priority="3">
      <formula>B3="Sep. Vessel"</formula>
    </cfRule>
    <cfRule type="expression" dxfId="0" priority="4">
      <formula>B3&lt;&gt;"Sep. Vessel"</formula>
    </cfRule>
  </conditionalFormatting>
  <dataValidations count="2">
    <dataValidation type="list" allowBlank="1" showInputMessage="1" showErrorMessage="1" sqref="B3:B5" xr:uid="{D2B8DD2C-D458-4596-B446-35456E05CBE7}">
      <formula1>"Sep. Vessel, Pipe, Annulus"</formula1>
    </dataValidation>
    <dataValidation allowBlank="1" showInputMessage="1" showErrorMessage="1" sqref="U3:U5" xr:uid="{43501A82-26F8-4702-B306-E99CD40CA38B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739f9c9-905f-4b47-8f98-cc7650e6636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6E62BC10342C47A2DA6EC5BCD4C7BF" ma:contentTypeVersion="15" ma:contentTypeDescription="Create a new document." ma:contentTypeScope="" ma:versionID="66de385ef67adb1d7b11dac456c4f1e9">
  <xsd:schema xmlns:xsd="http://www.w3.org/2001/XMLSchema" xmlns:xs="http://www.w3.org/2001/XMLSchema" xmlns:p="http://schemas.microsoft.com/office/2006/metadata/properties" xmlns:ns3="a739f9c9-905f-4b47-8f98-cc7650e6636a" xmlns:ns4="5301fe52-c388-4162-85ba-64ba15b8cdf4" targetNamespace="http://schemas.microsoft.com/office/2006/metadata/properties" ma:root="true" ma:fieldsID="aa3da78b9acb272048f8fee078ad36d4" ns3:_="" ns4:_="">
    <xsd:import namespace="a739f9c9-905f-4b47-8f98-cc7650e6636a"/>
    <xsd:import namespace="5301fe52-c388-4162-85ba-64ba15b8cd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9f9c9-905f-4b47-8f98-cc7650e6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01fe52-c388-4162-85ba-64ba15b8cd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89ED17-2A92-4F88-BA15-60845CDE2184}">
  <ds:schemaRefs>
    <ds:schemaRef ds:uri="http://schemas.microsoft.com/office/2006/metadata/properties"/>
    <ds:schemaRef ds:uri="http://schemas.microsoft.com/office/infopath/2007/PartnerControls"/>
    <ds:schemaRef ds:uri="a739f9c9-905f-4b47-8f98-cc7650e6636a"/>
  </ds:schemaRefs>
</ds:datastoreItem>
</file>

<file path=customXml/itemProps2.xml><?xml version="1.0" encoding="utf-8"?>
<ds:datastoreItem xmlns:ds="http://schemas.openxmlformats.org/officeDocument/2006/customXml" ds:itemID="{EFA9234D-2A99-4CD0-8C95-2ABCF92B4E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39f9c9-905f-4b47-8f98-cc7650e6636a"/>
    <ds:schemaRef ds:uri="5301fe52-c388-4162-85ba-64ba15b8cd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08DA76-C5FE-46B3-B1D3-DE3EE4B9DBE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4db608-ddec-4a44-8ad7-7d5a79b7448e}" enabled="1" method="Standard" siteId="{fd799da1-bfc1-4234-a91c-72b3a1cb9e2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With_0.25in</vt:lpstr>
      <vt:lpstr>With_0.5in</vt:lpstr>
      <vt:lpstr>VolumeCalcs</vt:lpstr>
      <vt:lpstr>Examples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Blowdown Gas Release Calculator</dc:title>
  <dc:subject/>
  <dc:creator>Krishnaraj Sambath</dc:creator>
  <cp:keywords/>
  <dc:description/>
  <cp:lastModifiedBy>Vakil, Mona</cp:lastModifiedBy>
  <cp:revision/>
  <dcterms:created xsi:type="dcterms:W3CDTF">2021-12-22T15:31:43Z</dcterms:created>
  <dcterms:modified xsi:type="dcterms:W3CDTF">2025-07-31T11:44:29Z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2021-12-22T15:31:44Z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02730274-de1d-4e2b-810d-153eea48810b</vt:lpwstr>
  </property>
  <property fmtid="{D5CDD505-2E9C-101B-9397-08002B2CF9AE}" pid="8" name="MSIP_Label_6e4db608-ddec-4a44-8ad7-7d5a79b7448e_ContentBits">
    <vt:lpwstr>0</vt:lpwstr>
  </property>
  <property fmtid="{D5CDD505-2E9C-101B-9397-08002B2CF9AE}" pid="9" name="ContentTypeId">
    <vt:lpwstr>0x010100506E62BC10342C47A2DA6EC5BCD4C7BF</vt:lpwstr>
  </property>
</Properties>
</file>